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3\JI Y SC 2023\PLANILLAS FINALES 2023\"/>
    </mc:Choice>
  </mc:AlternateContent>
  <xr:revisionPtr revIDLastSave="0" documentId="8_{1436639E-AA80-4958-B4E9-5AFF26465A92}" xr6:coauthVersionLast="46" xr6:coauthVersionMax="46" xr10:uidLastSave="{00000000-0000-0000-0000-000000000000}"/>
  <bookViews>
    <workbookView xWindow="-120" yWindow="-120" windowWidth="29040" windowHeight="15840" tabRatio="929" activeTab="2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externalReferences>
    <externalReference r:id="rId12"/>
  </externalReferences>
  <definedNames>
    <definedName name="__xlnm_Print_Area">'A) Resumen Ingresos y Egresos'!$A$1:$N$30</definedName>
    <definedName name="__xlnm_Print_Area_1">'C) Costos Directos'!$A$1:$H$38</definedName>
    <definedName name="__xlnm_Print_Area_2">'E) Resumen Tarifado '!$A$4:$G$12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Egresos'!$A$1:$N$30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O15" i="7" l="1"/>
  <c r="N15" i="7"/>
  <c r="P17" i="7"/>
  <c r="O17" i="7"/>
  <c r="N17" i="7"/>
  <c r="F83" i="3" l="1"/>
  <c r="F19" i="3"/>
  <c r="I162" i="9" l="1"/>
  <c r="J162" i="9" s="1"/>
  <c r="I161" i="9"/>
  <c r="J161" i="9" s="1"/>
  <c r="I160" i="9"/>
  <c r="J160" i="9" s="1"/>
  <c r="I159" i="9"/>
  <c r="J159" i="9" s="1"/>
  <c r="I158" i="9"/>
  <c r="J158" i="9" s="1"/>
  <c r="D98" i="9"/>
  <c r="D97" i="9"/>
  <c r="D96" i="9"/>
  <c r="E151" i="9"/>
  <c r="F151" i="9" s="1"/>
  <c r="F150" i="9" s="1"/>
  <c r="B150" i="9"/>
  <c r="E149" i="9"/>
  <c r="B149" i="9"/>
  <c r="F149" i="9" s="1"/>
  <c r="E148" i="9"/>
  <c r="B148" i="9"/>
  <c r="E147" i="9"/>
  <c r="B147" i="9"/>
  <c r="F147" i="9" s="1"/>
  <c r="E146" i="9"/>
  <c r="B146" i="9"/>
  <c r="F146" i="9" s="1"/>
  <c r="E145" i="9"/>
  <c r="B145" i="9"/>
  <c r="F145" i="9" s="1"/>
  <c r="E144" i="9"/>
  <c r="B144" i="9"/>
  <c r="F144" i="9" s="1"/>
  <c r="E143" i="9"/>
  <c r="B143" i="9"/>
  <c r="F143" i="9" s="1"/>
  <c r="E141" i="9"/>
  <c r="B141" i="9"/>
  <c r="F141" i="9" s="1"/>
  <c r="E140" i="9"/>
  <c r="B140" i="9"/>
  <c r="F140" i="9" s="1"/>
  <c r="E139" i="9"/>
  <c r="B139" i="9"/>
  <c r="F139" i="9" s="1"/>
  <c r="D138" i="9"/>
  <c r="E138" i="9" s="1"/>
  <c r="E137" i="9"/>
  <c r="B137" i="9"/>
  <c r="E136" i="9"/>
  <c r="B136" i="9"/>
  <c r="E135" i="9"/>
  <c r="B135" i="9"/>
  <c r="E134" i="9"/>
  <c r="B134" i="9"/>
  <c r="E132" i="9"/>
  <c r="B132" i="9"/>
  <c r="E131" i="9"/>
  <c r="B131" i="9"/>
  <c r="E130" i="9"/>
  <c r="B130" i="9"/>
  <c r="E129" i="9"/>
  <c r="B129" i="9"/>
  <c r="E128" i="9"/>
  <c r="B128" i="9"/>
  <c r="E127" i="9"/>
  <c r="B127" i="9"/>
  <c r="E126" i="9"/>
  <c r="B126" i="9"/>
  <c r="E125" i="9"/>
  <c r="B125" i="9"/>
  <c r="E123" i="9"/>
  <c r="E122" i="9" s="1"/>
  <c r="B123" i="9"/>
  <c r="B122" i="9" s="1"/>
  <c r="E121" i="9"/>
  <c r="B121" i="9"/>
  <c r="E120" i="9"/>
  <c r="B120" i="9"/>
  <c r="E119" i="9"/>
  <c r="F119" i="9" s="1"/>
  <c r="E118" i="9"/>
  <c r="F118" i="9" s="1"/>
  <c r="E115" i="9"/>
  <c r="B115" i="9"/>
  <c r="E114" i="9"/>
  <c r="B114" i="9"/>
  <c r="E113" i="9"/>
  <c r="B113" i="9"/>
  <c r="E112" i="9"/>
  <c r="B112" i="9"/>
  <c r="E111" i="9"/>
  <c r="B111" i="9"/>
  <c r="E110" i="9"/>
  <c r="B110" i="9"/>
  <c r="E109" i="9"/>
  <c r="B109" i="9"/>
  <c r="E108" i="9"/>
  <c r="B108" i="9"/>
  <c r="E107" i="9"/>
  <c r="B107" i="9"/>
  <c r="E106" i="9"/>
  <c r="B106" i="9"/>
  <c r="E105" i="9"/>
  <c r="B105" i="9"/>
  <c r="E104" i="9"/>
  <c r="B104" i="9"/>
  <c r="E103" i="9"/>
  <c r="B103" i="9"/>
  <c r="E102" i="9"/>
  <c r="B102" i="9"/>
  <c r="E101" i="9"/>
  <c r="B101" i="9"/>
  <c r="E100" i="9"/>
  <c r="B100" i="9"/>
  <c r="E99" i="9"/>
  <c r="B99" i="9"/>
  <c r="F98" i="9"/>
  <c r="F97" i="9"/>
  <c r="F94" i="9"/>
  <c r="F93" i="9"/>
  <c r="F92" i="9"/>
  <c r="F91" i="9"/>
  <c r="E90" i="9"/>
  <c r="D28" i="9"/>
  <c r="D27" i="9"/>
  <c r="D26" i="9"/>
  <c r="E142" i="9" l="1"/>
  <c r="E124" i="9"/>
  <c r="F148" i="9"/>
  <c r="F142" i="9"/>
  <c r="F99" i="9"/>
  <c r="F101" i="9"/>
  <c r="F103" i="9"/>
  <c r="F105" i="9"/>
  <c r="F107" i="9"/>
  <c r="F109" i="9"/>
  <c r="F111" i="9"/>
  <c r="F126" i="9"/>
  <c r="F128" i="9"/>
  <c r="F130" i="9"/>
  <c r="B142" i="9"/>
  <c r="F90" i="9"/>
  <c r="F100" i="9"/>
  <c r="F102" i="9"/>
  <c r="F104" i="9"/>
  <c r="F106" i="9"/>
  <c r="F108" i="9"/>
  <c r="F110" i="9"/>
  <c r="F112" i="9"/>
  <c r="F125" i="9"/>
  <c r="F127" i="9"/>
  <c r="F129" i="9"/>
  <c r="F131" i="9"/>
  <c r="F120" i="9"/>
  <c r="F121" i="9"/>
  <c r="F113" i="9"/>
  <c r="F114" i="9"/>
  <c r="F115" i="9"/>
  <c r="E117" i="9"/>
  <c r="F123" i="9"/>
  <c r="F122" i="9" s="1"/>
  <c r="B124" i="9"/>
  <c r="F132" i="9"/>
  <c r="F134" i="9"/>
  <c r="F135" i="9"/>
  <c r="F136" i="9"/>
  <c r="F137" i="9"/>
  <c r="E150" i="9"/>
  <c r="F96" i="9"/>
  <c r="E89" i="9"/>
  <c r="F138" i="9"/>
  <c r="E133" i="9"/>
  <c r="B90" i="9"/>
  <c r="B89" i="9" s="1"/>
  <c r="B117" i="9"/>
  <c r="B133" i="9"/>
  <c r="F117" i="9" l="1"/>
  <c r="F133" i="9"/>
  <c r="F124" i="9"/>
  <c r="F116" i="9" s="1"/>
  <c r="F152" i="9" s="1"/>
  <c r="E116" i="9"/>
  <c r="E152" i="9" s="1"/>
  <c r="F95" i="9"/>
  <c r="F89" i="9" s="1"/>
  <c r="B116" i="9"/>
  <c r="B152" i="9"/>
  <c r="F85" i="3" l="1"/>
  <c r="F84" i="3"/>
  <c r="F21" i="3"/>
  <c r="F20" i="3"/>
  <c r="G17" i="13" l="1"/>
  <c r="H17" i="13"/>
  <c r="I17" i="13"/>
  <c r="G18" i="13"/>
  <c r="H18" i="13"/>
  <c r="I18" i="13"/>
  <c r="G19" i="13"/>
  <c r="H19" i="13"/>
  <c r="I19" i="13"/>
  <c r="I25" i="13"/>
  <c r="H25" i="13"/>
  <c r="G25" i="13"/>
  <c r="I15" i="13"/>
  <c r="H15" i="13"/>
  <c r="G15" i="13"/>
  <c r="I24" i="12"/>
  <c r="G25" i="12"/>
  <c r="G24" i="12"/>
  <c r="G23" i="12"/>
  <c r="I18" i="12"/>
  <c r="I17" i="12"/>
  <c r="I15" i="12"/>
  <c r="I14" i="12"/>
  <c r="I13" i="12"/>
  <c r="I12" i="12"/>
  <c r="G18" i="12"/>
  <c r="G17" i="12"/>
  <c r="G14" i="12"/>
  <c r="G13" i="12"/>
  <c r="G12" i="12"/>
  <c r="G11" i="12"/>
  <c r="J23" i="16" l="1"/>
  <c r="B23" i="16"/>
  <c r="M23" i="16" l="1"/>
  <c r="J11" i="16"/>
  <c r="B11" i="16"/>
  <c r="H12" i="12"/>
  <c r="K12" i="12" s="1"/>
  <c r="H13" i="12"/>
  <c r="K13" i="12" s="1"/>
  <c r="H14" i="12"/>
  <c r="H15" i="12"/>
  <c r="K15" i="12" s="1"/>
  <c r="H16" i="12"/>
  <c r="K16" i="12" s="1"/>
  <c r="H17" i="12"/>
  <c r="K17" i="12" s="1"/>
  <c r="H18" i="12"/>
  <c r="K18" i="12" s="1"/>
  <c r="H19" i="12"/>
  <c r="K19" i="12" s="1"/>
  <c r="H20" i="12"/>
  <c r="K20" i="12" s="1"/>
  <c r="H21" i="12"/>
  <c r="K21" i="12" s="1"/>
  <c r="H22" i="12"/>
  <c r="K22" i="12" s="1"/>
  <c r="H23" i="12"/>
  <c r="K23" i="12" s="1"/>
  <c r="H24" i="12"/>
  <c r="K24" i="12" s="1"/>
  <c r="H25" i="12"/>
  <c r="K25" i="12" s="1"/>
  <c r="H26" i="12"/>
  <c r="K26" i="12" s="1"/>
  <c r="H27" i="12"/>
  <c r="K27" i="12" s="1"/>
  <c r="H28" i="12"/>
  <c r="K28" i="12" s="1"/>
  <c r="H29" i="12"/>
  <c r="K29" i="12" s="1"/>
  <c r="H30" i="12"/>
  <c r="K30" i="12" s="1"/>
  <c r="H11" i="12"/>
  <c r="K11" i="12" s="1"/>
  <c r="C18" i="16"/>
  <c r="D18" i="16"/>
  <c r="E18" i="16"/>
  <c r="F18" i="16"/>
  <c r="G18" i="16"/>
  <c r="H18" i="16"/>
  <c r="I18" i="16"/>
  <c r="J18" i="16"/>
  <c r="K18" i="16"/>
  <c r="L18" i="16"/>
  <c r="M18" i="16"/>
  <c r="B18" i="16"/>
  <c r="C6" i="16"/>
  <c r="D6" i="16"/>
  <c r="E6" i="16"/>
  <c r="F6" i="16"/>
  <c r="G6" i="16"/>
  <c r="H6" i="16"/>
  <c r="I6" i="16"/>
  <c r="J6" i="16"/>
  <c r="K6" i="16"/>
  <c r="L6" i="16"/>
  <c r="M6" i="16"/>
  <c r="B6" i="16"/>
  <c r="H23" i="7"/>
  <c r="I10" i="16" l="1"/>
  <c r="M10" i="16"/>
  <c r="E10" i="16"/>
  <c r="L10" i="16"/>
  <c r="H10" i="16"/>
  <c r="D10" i="16"/>
  <c r="K14" i="12"/>
  <c r="K10" i="16"/>
  <c r="G10" i="16"/>
  <c r="C10" i="16"/>
  <c r="B10" i="16"/>
  <c r="J10" i="16"/>
  <c r="F10" i="16"/>
  <c r="M11" i="16"/>
  <c r="N11" i="16" s="1"/>
  <c r="C22" i="16"/>
  <c r="G22" i="16"/>
  <c r="K22" i="16"/>
  <c r="D22" i="16"/>
  <c r="L22" i="16"/>
  <c r="I22" i="16"/>
  <c r="F22" i="16"/>
  <c r="J22" i="16"/>
  <c r="B22" i="16"/>
  <c r="H22" i="16"/>
  <c r="E22" i="16"/>
  <c r="M22" i="16"/>
  <c r="N23" i="16"/>
  <c r="I17" i="7" l="1"/>
  <c r="J17" i="7"/>
  <c r="K17" i="7"/>
  <c r="L17" i="7"/>
  <c r="Q17" i="7" s="1"/>
  <c r="M17" i="7" l="1"/>
  <c r="R15" i="5" l="1"/>
  <c r="S15" i="5"/>
  <c r="T15" i="5"/>
  <c r="U15" i="5"/>
  <c r="V15" i="5"/>
  <c r="R13" i="5"/>
  <c r="H15" i="5"/>
  <c r="I15" i="5"/>
  <c r="J15" i="5"/>
  <c r="K15" i="5"/>
  <c r="L15" i="5"/>
  <c r="H13" i="5"/>
  <c r="I13" i="5"/>
  <c r="J13" i="5"/>
  <c r="K13" i="5"/>
  <c r="L13" i="5"/>
  <c r="J15" i="7"/>
  <c r="K15" i="7"/>
  <c r="U13" i="5" s="1"/>
  <c r="L15" i="7"/>
  <c r="M15" i="7"/>
  <c r="I15" i="7"/>
  <c r="V13" i="5" l="1"/>
  <c r="Q15" i="7"/>
  <c r="T13" i="5"/>
  <c r="S13" i="5"/>
  <c r="P15" i="7"/>
  <c r="I37" i="2"/>
  <c r="I31" i="2"/>
  <c r="G138" i="3" l="1"/>
  <c r="G137" i="3" s="1"/>
  <c r="D137" i="3"/>
  <c r="G136" i="3"/>
  <c r="G135" i="3"/>
  <c r="G134" i="3"/>
  <c r="G133" i="3"/>
  <c r="G132" i="3"/>
  <c r="G131" i="3"/>
  <c r="G130" i="3"/>
  <c r="G128" i="3"/>
  <c r="G127" i="3"/>
  <c r="G126" i="3"/>
  <c r="G124" i="3"/>
  <c r="G123" i="3"/>
  <c r="G122" i="3"/>
  <c r="G121" i="3"/>
  <c r="G119" i="3"/>
  <c r="G118" i="3"/>
  <c r="G117" i="3"/>
  <c r="G116" i="3"/>
  <c r="G115" i="3"/>
  <c r="G114" i="3"/>
  <c r="G113" i="3"/>
  <c r="G112" i="3"/>
  <c r="G110" i="3"/>
  <c r="G109" i="3" s="1"/>
  <c r="G108" i="3"/>
  <c r="G107" i="3"/>
  <c r="G106" i="3"/>
  <c r="H106" i="3" s="1"/>
  <c r="G105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G80" i="3"/>
  <c r="H80" i="3" s="1"/>
  <c r="G79" i="3"/>
  <c r="H79" i="3" s="1"/>
  <c r="G78" i="3"/>
  <c r="H28" i="7"/>
  <c r="H26" i="7"/>
  <c r="J38" i="2"/>
  <c r="K38" i="2"/>
  <c r="F38" i="2" s="1"/>
  <c r="L38" i="2"/>
  <c r="G38" i="2" s="1"/>
  <c r="M38" i="2"/>
  <c r="I38" i="2"/>
  <c r="I39" i="2" s="1"/>
  <c r="J32" i="2"/>
  <c r="E32" i="2" s="1"/>
  <c r="K32" i="2"/>
  <c r="F32" i="2" s="1"/>
  <c r="L32" i="2"/>
  <c r="G32" i="2" s="1"/>
  <c r="M32" i="2"/>
  <c r="I32" i="2"/>
  <c r="H25" i="7"/>
  <c r="H24" i="7"/>
  <c r="M37" i="2"/>
  <c r="H37" i="2" s="1"/>
  <c r="L37" i="2"/>
  <c r="K37" i="2"/>
  <c r="F37" i="2" s="1"/>
  <c r="J37" i="2"/>
  <c r="E37" i="2" s="1"/>
  <c r="M31" i="2"/>
  <c r="H31" i="2" s="1"/>
  <c r="L31" i="2"/>
  <c r="G31" i="2" s="1"/>
  <c r="K31" i="2"/>
  <c r="J31" i="2"/>
  <c r="E31" i="2" s="1"/>
  <c r="M35" i="2"/>
  <c r="M36" i="2" s="1"/>
  <c r="L35" i="2"/>
  <c r="L36" i="2" s="1"/>
  <c r="K35" i="2"/>
  <c r="K36" i="2" s="1"/>
  <c r="J35" i="2"/>
  <c r="J36" i="2" s="1"/>
  <c r="I35" i="2"/>
  <c r="I36" i="2" s="1"/>
  <c r="D39" i="2"/>
  <c r="D36" i="2"/>
  <c r="D33" i="2"/>
  <c r="E35" i="2" l="1"/>
  <c r="E36" i="2" s="1"/>
  <c r="H35" i="2"/>
  <c r="H36" i="2" s="1"/>
  <c r="K33" i="2"/>
  <c r="L39" i="2"/>
  <c r="I28" i="7"/>
  <c r="F125" i="3" s="1"/>
  <c r="G125" i="3" s="1"/>
  <c r="H125" i="3" s="1"/>
  <c r="I25" i="7"/>
  <c r="H5" i="16" s="1"/>
  <c r="G111" i="3"/>
  <c r="G129" i="3"/>
  <c r="G77" i="3"/>
  <c r="G35" i="2"/>
  <c r="G36" i="2" s="1"/>
  <c r="G104" i="3"/>
  <c r="M33" i="2"/>
  <c r="F31" i="2"/>
  <c r="F33" i="2" s="1"/>
  <c r="J39" i="2"/>
  <c r="F35" i="2"/>
  <c r="F36" i="2" s="1"/>
  <c r="G33" i="2"/>
  <c r="M39" i="2"/>
  <c r="J33" i="2"/>
  <c r="F39" i="2"/>
  <c r="G37" i="2"/>
  <c r="G39" i="2" s="1"/>
  <c r="I33" i="2"/>
  <c r="G82" i="3"/>
  <c r="H105" i="3"/>
  <c r="H138" i="3"/>
  <c r="H137" i="3" s="1"/>
  <c r="E38" i="2"/>
  <c r="E39" i="2" s="1"/>
  <c r="H32" i="2"/>
  <c r="H33" i="2" s="1"/>
  <c r="L33" i="2"/>
  <c r="H38" i="2"/>
  <c r="H39" i="2" s="1"/>
  <c r="K39" i="2"/>
  <c r="E33" i="2"/>
  <c r="G76" i="3" l="1"/>
  <c r="O33" i="2"/>
  <c r="M17" i="16"/>
  <c r="D17" i="16"/>
  <c r="J17" i="16"/>
  <c r="L17" i="16"/>
  <c r="I17" i="16"/>
  <c r="K17" i="16"/>
  <c r="G17" i="16"/>
  <c r="G120" i="3"/>
  <c r="G103" i="3" s="1"/>
  <c r="H17" i="16"/>
  <c r="F17" i="16"/>
  <c r="E17" i="16"/>
  <c r="F5" i="16"/>
  <c r="K5" i="16"/>
  <c r="E5" i="16"/>
  <c r="G5" i="16"/>
  <c r="M5" i="16"/>
  <c r="I5" i="16"/>
  <c r="D5" i="16"/>
  <c r="F61" i="3"/>
  <c r="J5" i="16"/>
  <c r="L5" i="16"/>
  <c r="G139" i="3" l="1"/>
  <c r="G21" i="1"/>
  <c r="G19" i="1"/>
  <c r="D201" i="3"/>
  <c r="D193" i="3"/>
  <c r="D184" i="3"/>
  <c r="D175" i="3"/>
  <c r="D173" i="3"/>
  <c r="D172" i="3"/>
  <c r="D171" i="3"/>
  <c r="A19" i="1"/>
  <c r="B19" i="1"/>
  <c r="C19" i="1"/>
  <c r="Q19" i="1"/>
  <c r="B20" i="1"/>
  <c r="B21" i="1"/>
  <c r="C21" i="1"/>
  <c r="Q21" i="1"/>
  <c r="A13" i="5"/>
  <c r="B13" i="5"/>
  <c r="C13" i="5"/>
  <c r="M13" i="5" s="1"/>
  <c r="B14" i="5"/>
  <c r="B15" i="5"/>
  <c r="C15" i="5"/>
  <c r="M15" i="5" s="1"/>
  <c r="N14" i="3"/>
  <c r="D22" i="3" s="1"/>
  <c r="O14" i="3"/>
  <c r="D86" i="3" s="1"/>
  <c r="N15" i="3"/>
  <c r="D23" i="3" s="1"/>
  <c r="O15" i="3"/>
  <c r="D87" i="3" s="1"/>
  <c r="H87" i="3" s="1"/>
  <c r="N16" i="3"/>
  <c r="D24" i="3" s="1"/>
  <c r="O16" i="3"/>
  <c r="D88" i="3" s="1"/>
  <c r="H88" i="3" s="1"/>
  <c r="N17" i="3"/>
  <c r="D25" i="3" s="1"/>
  <c r="O17" i="3"/>
  <c r="D89" i="3" s="1"/>
  <c r="H89" i="3" s="1"/>
  <c r="N18" i="3"/>
  <c r="D26" i="3" s="1"/>
  <c r="O18" i="3"/>
  <c r="D90" i="3" s="1"/>
  <c r="H90" i="3" s="1"/>
  <c r="N19" i="3"/>
  <c r="D27" i="3" s="1"/>
  <c r="O19" i="3"/>
  <c r="D91" i="3" s="1"/>
  <c r="H91" i="3" s="1"/>
  <c r="N20" i="3"/>
  <c r="D28" i="3" s="1"/>
  <c r="O20" i="3"/>
  <c r="D92" i="3" s="1"/>
  <c r="H92" i="3" s="1"/>
  <c r="N21" i="3"/>
  <c r="D29" i="3" s="1"/>
  <c r="O21" i="3"/>
  <c r="D93" i="3" s="1"/>
  <c r="H93" i="3" s="1"/>
  <c r="N22" i="3"/>
  <c r="D30" i="3" s="1"/>
  <c r="O22" i="3"/>
  <c r="N23" i="3"/>
  <c r="D31" i="3" s="1"/>
  <c r="O23" i="3"/>
  <c r="D95" i="3" s="1"/>
  <c r="H95" i="3" s="1"/>
  <c r="N24" i="3"/>
  <c r="D32" i="3" s="1"/>
  <c r="O24" i="3"/>
  <c r="D96" i="3" s="1"/>
  <c r="H96" i="3" s="1"/>
  <c r="N25" i="3"/>
  <c r="D33" i="3" s="1"/>
  <c r="O25" i="3"/>
  <c r="D97" i="3" s="1"/>
  <c r="H97" i="3" s="1"/>
  <c r="N26" i="3"/>
  <c r="D34" i="3" s="1"/>
  <c r="O26" i="3"/>
  <c r="D98" i="3" s="1"/>
  <c r="H98" i="3" s="1"/>
  <c r="N27" i="3"/>
  <c r="D35" i="3" s="1"/>
  <c r="O27" i="3"/>
  <c r="D99" i="3" s="1"/>
  <c r="H99" i="3" s="1"/>
  <c r="N28" i="3"/>
  <c r="D36" i="3" s="1"/>
  <c r="O28" i="3"/>
  <c r="D100" i="3" s="1"/>
  <c r="H100" i="3" s="1"/>
  <c r="N29" i="3"/>
  <c r="D37" i="3" s="1"/>
  <c r="O29" i="3"/>
  <c r="D101" i="3" s="1"/>
  <c r="H101" i="3" s="1"/>
  <c r="N30" i="3"/>
  <c r="D38" i="3" s="1"/>
  <c r="O30" i="3"/>
  <c r="D102" i="3" s="1"/>
  <c r="H102" i="3" s="1"/>
  <c r="N33" i="3"/>
  <c r="D43" i="3" s="1"/>
  <c r="O33" i="3"/>
  <c r="D107" i="3" s="1"/>
  <c r="N34" i="3"/>
  <c r="D44" i="3" s="1"/>
  <c r="O34" i="3"/>
  <c r="D108" i="3" s="1"/>
  <c r="H108" i="3" s="1"/>
  <c r="N36" i="3"/>
  <c r="D46" i="3" s="1"/>
  <c r="O36" i="3"/>
  <c r="D110" i="3" s="1"/>
  <c r="N38" i="3"/>
  <c r="D48" i="3" s="1"/>
  <c r="O38" i="3"/>
  <c r="D112" i="3" s="1"/>
  <c r="N39" i="3"/>
  <c r="D49" i="3" s="1"/>
  <c r="O39" i="3"/>
  <c r="D113" i="3" s="1"/>
  <c r="H113" i="3" s="1"/>
  <c r="N40" i="3"/>
  <c r="D50" i="3" s="1"/>
  <c r="O40" i="3"/>
  <c r="D114" i="3" s="1"/>
  <c r="H114" i="3" s="1"/>
  <c r="N41" i="3"/>
  <c r="D51" i="3" s="1"/>
  <c r="O41" i="3"/>
  <c r="D115" i="3" s="1"/>
  <c r="H115" i="3" s="1"/>
  <c r="N42" i="3"/>
  <c r="D52" i="3" s="1"/>
  <c r="O42" i="3"/>
  <c r="D116" i="3" s="1"/>
  <c r="H116" i="3" s="1"/>
  <c r="N43" i="3"/>
  <c r="D53" i="3" s="1"/>
  <c r="O43" i="3"/>
  <c r="D117" i="3" s="1"/>
  <c r="H117" i="3" s="1"/>
  <c r="N44" i="3"/>
  <c r="D54" i="3" s="1"/>
  <c r="O44" i="3"/>
  <c r="D118" i="3" s="1"/>
  <c r="H118" i="3" s="1"/>
  <c r="N45" i="3"/>
  <c r="D55" i="3" s="1"/>
  <c r="O45" i="3"/>
  <c r="D119" i="3" s="1"/>
  <c r="H119" i="3" s="1"/>
  <c r="N47" i="3"/>
  <c r="D57" i="3" s="1"/>
  <c r="O47" i="3"/>
  <c r="D121" i="3" s="1"/>
  <c r="N48" i="3"/>
  <c r="D58" i="3" s="1"/>
  <c r="O48" i="3"/>
  <c r="D122" i="3" s="1"/>
  <c r="H122" i="3" s="1"/>
  <c r="N49" i="3"/>
  <c r="D59" i="3" s="1"/>
  <c r="O49" i="3"/>
  <c r="D123" i="3" s="1"/>
  <c r="H123" i="3" s="1"/>
  <c r="N50" i="3"/>
  <c r="D60" i="3" s="1"/>
  <c r="O50" i="3"/>
  <c r="D124" i="3" s="1"/>
  <c r="H124" i="3" s="1"/>
  <c r="N51" i="3"/>
  <c r="D62" i="3" s="1"/>
  <c r="O51" i="3"/>
  <c r="D126" i="3" s="1"/>
  <c r="H126" i="3" s="1"/>
  <c r="N52" i="3"/>
  <c r="D63" i="3" s="1"/>
  <c r="O52" i="3"/>
  <c r="D127" i="3" s="1"/>
  <c r="H127" i="3" s="1"/>
  <c r="N53" i="3"/>
  <c r="D64" i="3" s="1"/>
  <c r="O53" i="3"/>
  <c r="D128" i="3" s="1"/>
  <c r="H128" i="3" s="1"/>
  <c r="N55" i="3"/>
  <c r="D66" i="3" s="1"/>
  <c r="O55" i="3"/>
  <c r="D130" i="3" s="1"/>
  <c r="N56" i="3"/>
  <c r="D67" i="3" s="1"/>
  <c r="O56" i="3"/>
  <c r="D131" i="3" s="1"/>
  <c r="H131" i="3" s="1"/>
  <c r="N57" i="3"/>
  <c r="D68" i="3" s="1"/>
  <c r="O57" i="3"/>
  <c r="D132" i="3" s="1"/>
  <c r="H132" i="3" s="1"/>
  <c r="N58" i="3"/>
  <c r="D69" i="3" s="1"/>
  <c r="O58" i="3"/>
  <c r="D133" i="3" s="1"/>
  <c r="H133" i="3" s="1"/>
  <c r="N59" i="3"/>
  <c r="D70" i="3" s="1"/>
  <c r="O59" i="3"/>
  <c r="D134" i="3" s="1"/>
  <c r="H134" i="3" s="1"/>
  <c r="N60" i="3"/>
  <c r="D71" i="3" s="1"/>
  <c r="O60" i="3"/>
  <c r="D135" i="3" s="1"/>
  <c r="H135" i="3" s="1"/>
  <c r="N61" i="3"/>
  <c r="D72" i="3" s="1"/>
  <c r="O61" i="3"/>
  <c r="D136" i="3" s="1"/>
  <c r="H136" i="3" s="1"/>
  <c r="F21" i="1"/>
  <c r="E21" i="1"/>
  <c r="J21" i="1" s="1"/>
  <c r="D15" i="5"/>
  <c r="N15" i="5" s="1"/>
  <c r="F13" i="5"/>
  <c r="P13" i="5" s="1"/>
  <c r="E13" i="5"/>
  <c r="O13" i="5" s="1"/>
  <c r="D13" i="5"/>
  <c r="N13" i="5" s="1"/>
  <c r="B34" i="2"/>
  <c r="B31" i="2"/>
  <c r="B37" i="2"/>
  <c r="A31" i="2"/>
  <c r="A20" i="16" s="1"/>
  <c r="P33" i="2"/>
  <c r="P36" i="2"/>
  <c r="P39" i="2"/>
  <c r="B26" i="7"/>
  <c r="B27" i="7"/>
  <c r="B28" i="7"/>
  <c r="B23" i="7"/>
  <c r="A26" i="7"/>
  <c r="D94" i="3" l="1"/>
  <c r="H94" i="3" s="1"/>
  <c r="P40" i="2"/>
  <c r="D168" i="3"/>
  <c r="H130" i="3"/>
  <c r="H129" i="3" s="1"/>
  <c r="D129" i="3"/>
  <c r="D120" i="3"/>
  <c r="H121" i="3"/>
  <c r="H120" i="3" s="1"/>
  <c r="H112" i="3"/>
  <c r="H111" i="3" s="1"/>
  <c r="D111" i="3"/>
  <c r="H110" i="3"/>
  <c r="H109" i="3" s="1"/>
  <c r="D109" i="3"/>
  <c r="H107" i="3"/>
  <c r="H104" i="3" s="1"/>
  <c r="D104" i="3"/>
  <c r="H21" i="1"/>
  <c r="D82" i="3"/>
  <c r="H86" i="3"/>
  <c r="G15" i="5"/>
  <c r="Q15" i="5" s="1"/>
  <c r="G13" i="5"/>
  <c r="Q13" i="5" s="1"/>
  <c r="D21" i="1"/>
  <c r="I21" i="1" s="1"/>
  <c r="F19" i="1"/>
  <c r="K19" i="1" s="1"/>
  <c r="F15" i="5"/>
  <c r="P15" i="5" s="1"/>
  <c r="E19" i="1"/>
  <c r="J19" i="1" s="1"/>
  <c r="E15" i="5"/>
  <c r="O15" i="5" s="1"/>
  <c r="D19" i="1"/>
  <c r="I19" i="1" s="1"/>
  <c r="L23" i="12"/>
  <c r="L21" i="1"/>
  <c r="K21" i="1"/>
  <c r="H19" i="1"/>
  <c r="L19" i="1"/>
  <c r="F40" i="2"/>
  <c r="D40" i="2"/>
  <c r="E40" i="2"/>
  <c r="A23" i="7"/>
  <c r="H82" i="3" l="1"/>
  <c r="D78" i="3"/>
  <c r="D77" i="3" s="1"/>
  <c r="D76" i="3" s="1"/>
  <c r="D103" i="3"/>
  <c r="H103" i="3"/>
  <c r="J138" i="3"/>
  <c r="J40" i="2"/>
  <c r="N36" i="2"/>
  <c r="B11" i="2" s="1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H41" i="3" s="1"/>
  <c r="D40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D18" i="3"/>
  <c r="G17" i="3"/>
  <c r="H17" i="3" s="1"/>
  <c r="G16" i="3"/>
  <c r="H16" i="3" s="1"/>
  <c r="G15" i="3"/>
  <c r="H15" i="3" s="1"/>
  <c r="G14" i="3"/>
  <c r="H78" i="3" l="1"/>
  <c r="H77" i="3" s="1"/>
  <c r="H76" i="3" s="1"/>
  <c r="H139" i="3" s="1"/>
  <c r="N22" i="16"/>
  <c r="D139" i="3"/>
  <c r="D39" i="3"/>
  <c r="I40" i="2"/>
  <c r="N39" i="2"/>
  <c r="H40" i="2"/>
  <c r="G193" i="3"/>
  <c r="G13" i="3"/>
  <c r="G40" i="3"/>
  <c r="G141" i="3"/>
  <c r="G168" i="3"/>
  <c r="G175" i="3"/>
  <c r="G146" i="3"/>
  <c r="G18" i="3"/>
  <c r="G56" i="3"/>
  <c r="G65" i="3"/>
  <c r="G184" i="3"/>
  <c r="K40" i="2"/>
  <c r="O36" i="2"/>
  <c r="L40" i="2"/>
  <c r="D142" i="3"/>
  <c r="H142" i="3" s="1"/>
  <c r="H141" i="3" s="1"/>
  <c r="F11" i="2" s="1"/>
  <c r="H168" i="3"/>
  <c r="H175" i="3"/>
  <c r="H194" i="3"/>
  <c r="H193" i="3" s="1"/>
  <c r="H147" i="3"/>
  <c r="H146" i="3" s="1"/>
  <c r="H174" i="3"/>
  <c r="H173" i="3" s="1"/>
  <c r="H185" i="3"/>
  <c r="H184" i="3" s="1"/>
  <c r="H202" i="3"/>
  <c r="H201" i="3" s="1"/>
  <c r="H47" i="3"/>
  <c r="H40" i="3"/>
  <c r="G47" i="3"/>
  <c r="H66" i="3"/>
  <c r="H19" i="3"/>
  <c r="H18" i="3" s="1"/>
  <c r="H46" i="3"/>
  <c r="H45" i="3" s="1"/>
  <c r="H57" i="3"/>
  <c r="H56" i="3" s="1"/>
  <c r="H74" i="3"/>
  <c r="H73" i="3" s="1"/>
  <c r="F10" i="2" l="1"/>
  <c r="F24" i="16"/>
  <c r="J24" i="16"/>
  <c r="B24" i="16"/>
  <c r="C24" i="16"/>
  <c r="G24" i="16"/>
  <c r="K24" i="16"/>
  <c r="D24" i="16"/>
  <c r="H24" i="16"/>
  <c r="L24" i="16"/>
  <c r="E24" i="16"/>
  <c r="I24" i="16"/>
  <c r="M24" i="16"/>
  <c r="J139" i="3"/>
  <c r="G39" i="3"/>
  <c r="D141" i="3"/>
  <c r="D140" i="3" s="1"/>
  <c r="D203" i="3" s="1"/>
  <c r="O39" i="2"/>
  <c r="Q39" i="2" s="1"/>
  <c r="Q36" i="2"/>
  <c r="C11" i="2"/>
  <c r="E11" i="2" s="1"/>
  <c r="M40" i="2"/>
  <c r="J202" i="3"/>
  <c r="G167" i="3"/>
  <c r="G12" i="3"/>
  <c r="H140" i="3"/>
  <c r="G140" i="3"/>
  <c r="G40" i="2"/>
  <c r="N33" i="2"/>
  <c r="H65" i="3"/>
  <c r="H39" i="3" s="1"/>
  <c r="J74" i="3"/>
  <c r="H167" i="3"/>
  <c r="G203" i="3" l="1"/>
  <c r="N24" i="16"/>
  <c r="O40" i="2"/>
  <c r="C10" i="2"/>
  <c r="N40" i="2"/>
  <c r="B10" i="2"/>
  <c r="G75" i="3"/>
  <c r="J206" i="3"/>
  <c r="H203" i="3"/>
  <c r="Q33" i="2"/>
  <c r="Q40" i="2" s="1"/>
  <c r="C21" i="16" l="1"/>
  <c r="G21" i="16"/>
  <c r="G25" i="16" s="1"/>
  <c r="K21" i="16"/>
  <c r="K25" i="16" s="1"/>
  <c r="I21" i="16"/>
  <c r="I25" i="16" s="1"/>
  <c r="F21" i="16"/>
  <c r="F25" i="16" s="1"/>
  <c r="B21" i="16"/>
  <c r="D21" i="16"/>
  <c r="D25" i="16" s="1"/>
  <c r="H21" i="16"/>
  <c r="H25" i="16" s="1"/>
  <c r="L21" i="16"/>
  <c r="L25" i="16" s="1"/>
  <c r="E21" i="16"/>
  <c r="E25" i="16" s="1"/>
  <c r="M21" i="16"/>
  <c r="M25" i="16" s="1"/>
  <c r="J21" i="16"/>
  <c r="J25" i="16" s="1"/>
  <c r="C25" i="16"/>
  <c r="E10" i="2"/>
  <c r="J203" i="3"/>
  <c r="N21" i="16" l="1"/>
  <c r="N25" i="16" s="1"/>
  <c r="B25" i="16"/>
  <c r="E204" i="3"/>
  <c r="F204" i="3"/>
  <c r="G204" i="3"/>
  <c r="J25" i="2" l="1"/>
  <c r="K25" i="2"/>
  <c r="L25" i="2"/>
  <c r="M25" i="2"/>
  <c r="I25" i="2"/>
  <c r="Q17" i="1"/>
  <c r="B17" i="1"/>
  <c r="R11" i="5"/>
  <c r="H11" i="5"/>
  <c r="I11" i="5"/>
  <c r="J11" i="5"/>
  <c r="K11" i="5"/>
  <c r="L11" i="5"/>
  <c r="B11" i="5"/>
  <c r="P24" i="2"/>
  <c r="M13" i="7"/>
  <c r="C11" i="5" s="1"/>
  <c r="L13" i="7"/>
  <c r="Q13" i="7" s="1"/>
  <c r="M24" i="2" s="1"/>
  <c r="K13" i="7"/>
  <c r="P13" i="7" s="1"/>
  <c r="L24" i="2" s="1"/>
  <c r="J13" i="7"/>
  <c r="I13" i="7"/>
  <c r="N13" i="7" s="1"/>
  <c r="O13" i="7" l="1"/>
  <c r="E11" i="5" s="1"/>
  <c r="O11" i="5" s="1"/>
  <c r="M11" i="5"/>
  <c r="D17" i="1"/>
  <c r="I17" i="1" s="1"/>
  <c r="U11" i="5"/>
  <c r="D11" i="5"/>
  <c r="N11" i="5" s="1"/>
  <c r="I24" i="2"/>
  <c r="T11" i="5"/>
  <c r="E17" i="1"/>
  <c r="J17" i="1" s="1"/>
  <c r="K24" i="2"/>
  <c r="S11" i="5"/>
  <c r="C17" i="1"/>
  <c r="H17" i="1" s="1"/>
  <c r="J24" i="2"/>
  <c r="V11" i="5"/>
  <c r="G11" i="5"/>
  <c r="Q11" i="5" s="1"/>
  <c r="G17" i="1"/>
  <c r="L17" i="1" s="1"/>
  <c r="F11" i="5"/>
  <c r="P11" i="5" s="1"/>
  <c r="F17" i="1"/>
  <c r="K17" i="1" s="1"/>
  <c r="B24" i="7"/>
  <c r="B25" i="7"/>
  <c r="P26" i="2" l="1"/>
  <c r="M26" i="2"/>
  <c r="K26" i="2"/>
  <c r="I26" i="2"/>
  <c r="L26" i="2"/>
  <c r="E24" i="2"/>
  <c r="G25" i="2"/>
  <c r="E25" i="2"/>
  <c r="H24" i="2"/>
  <c r="F24" i="2"/>
  <c r="D24" i="2"/>
  <c r="E26" i="2" l="1"/>
  <c r="J26" i="2"/>
  <c r="G24" i="2"/>
  <c r="G26" i="2" s="1"/>
  <c r="F25" i="2"/>
  <c r="F26" i="2" s="1"/>
  <c r="D25" i="2"/>
  <c r="D26" i="2" s="1"/>
  <c r="H25" i="2"/>
  <c r="H26" i="2" s="1"/>
  <c r="O26" i="2" l="1"/>
  <c r="N26" i="2"/>
  <c r="Q26" i="2" l="1"/>
  <c r="I12" i="7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J45" i="13"/>
  <c r="K45" i="13" s="1"/>
  <c r="J44" i="13"/>
  <c r="K44" i="13" s="1"/>
  <c r="J43" i="13"/>
  <c r="K43" i="13" s="1"/>
  <c r="J42" i="13"/>
  <c r="J41" i="13"/>
  <c r="K41" i="13" s="1"/>
  <c r="J53" i="13"/>
  <c r="J52" i="13"/>
  <c r="K52" i="13" s="1"/>
  <c r="J51" i="13"/>
  <c r="K51" i="13" s="1"/>
  <c r="J50" i="13"/>
  <c r="K50" i="13" s="1"/>
  <c r="K46" i="13" l="1"/>
  <c r="R46" i="13" s="1"/>
  <c r="K53" i="13"/>
  <c r="R53" i="13" s="1"/>
  <c r="K42" i="13"/>
  <c r="R42" i="13" s="1"/>
  <c r="R45" i="13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6" i="13"/>
  <c r="P46" i="13"/>
  <c r="N51" i="13"/>
  <c r="R51" i="13"/>
  <c r="P51" i="13"/>
  <c r="R52" i="13"/>
  <c r="P52" i="13"/>
  <c r="N52" i="13"/>
  <c r="P50" i="13"/>
  <c r="N50" i="13"/>
  <c r="R50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J40" i="13"/>
  <c r="K40" i="13" s="1"/>
  <c r="J39" i="13"/>
  <c r="K39" i="13" s="1"/>
  <c r="J38" i="13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N53" i="13"/>
  <c r="K49" i="13"/>
  <c r="P49" i="13" s="1"/>
  <c r="K38" i="13"/>
  <c r="R38" i="13" s="1"/>
  <c r="P42" i="13"/>
  <c r="N4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4" i="13"/>
  <c r="N35" i="13"/>
  <c r="R49" i="13"/>
  <c r="N19" i="13"/>
  <c r="N22" i="13"/>
  <c r="R23" i="13"/>
  <c r="P24" i="13"/>
  <c r="R25" i="13"/>
  <c r="P33" i="13"/>
  <c r="P34" i="13"/>
  <c r="R35" i="13"/>
  <c r="P37" i="13"/>
  <c r="N49" i="13"/>
  <c r="R60" i="13"/>
  <c r="R28" i="13"/>
  <c r="R56" i="13"/>
  <c r="N60" i="13"/>
  <c r="N61" i="13"/>
  <c r="I22" i="2"/>
  <c r="P38" i="13" l="1"/>
  <c r="N38" i="13"/>
  <c r="K62" i="13"/>
  <c r="R62" i="13"/>
  <c r="P62" i="13"/>
  <c r="N62" i="13"/>
  <c r="W80" i="13"/>
  <c r="Q62" i="13" l="1"/>
  <c r="AD15" i="13" s="1"/>
  <c r="AK15" i="13" s="1"/>
  <c r="AL15" i="13" s="1"/>
  <c r="AE15" i="13"/>
  <c r="O62" i="13"/>
  <c r="AB15" i="13" s="1"/>
  <c r="AI15" i="13" s="1"/>
  <c r="AJ15" i="13" s="1"/>
  <c r="AC15" i="13"/>
  <c r="M62" i="13"/>
  <c r="Z15" i="13" s="1"/>
  <c r="AG15" i="13" s="1"/>
  <c r="AH15" i="13" s="1"/>
  <c r="AA15" i="13"/>
  <c r="M14" i="7"/>
  <c r="I21" i="2"/>
  <c r="AP15" i="13" l="1"/>
  <c r="AN15" i="13"/>
  <c r="AR15" i="13"/>
  <c r="C12" i="5"/>
  <c r="M12" i="5" s="1"/>
  <c r="C18" i="1"/>
  <c r="D16" i="1"/>
  <c r="I16" i="1" s="1"/>
  <c r="S10" i="5"/>
  <c r="L14" i="7"/>
  <c r="K14" i="7"/>
  <c r="J14" i="7"/>
  <c r="O14" i="7" s="1"/>
  <c r="I14" i="7"/>
  <c r="N14" i="7" s="1"/>
  <c r="L12" i="7"/>
  <c r="Q12" i="7" s="1"/>
  <c r="K12" i="7"/>
  <c r="P12" i="7" s="1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21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s="1"/>
  <c r="B9" i="16" s="1"/>
  <c r="P41" i="2" l="1"/>
  <c r="K28" i="2"/>
  <c r="F28" i="2" s="1"/>
  <c r="K22" i="2"/>
  <c r="F22" i="2" s="1"/>
  <c r="J12" i="7"/>
  <c r="O12" i="7" s="1"/>
  <c r="T10" i="5" l="1"/>
  <c r="K21" i="2"/>
  <c r="E16" i="1" l="1"/>
  <c r="J16" i="1" s="1"/>
  <c r="E10" i="5"/>
  <c r="O10" i="5" s="1"/>
  <c r="F21" i="2"/>
  <c r="F23" i="2" s="1"/>
  <c r="K23" i="2"/>
  <c r="K27" i="2" l="1"/>
  <c r="D9" i="2"/>
  <c r="D12" i="2" s="1"/>
  <c r="F27" i="2" l="1"/>
  <c r="F29" i="2" s="1"/>
  <c r="K29" i="2"/>
  <c r="E4" i="12"/>
  <c r="B11" i="12"/>
  <c r="K30" i="2" l="1"/>
  <c r="K41" i="2" s="1"/>
  <c r="F30" i="2"/>
  <c r="F41" i="2" s="1"/>
  <c r="L11" i="12"/>
  <c r="L37" i="12" l="1"/>
  <c r="D14" i="3"/>
  <c r="C16" i="1"/>
  <c r="H16" i="1" s="1"/>
  <c r="N10" i="16" l="1"/>
  <c r="H14" i="3"/>
  <c r="H13" i="3" s="1"/>
  <c r="H12" i="3" s="1"/>
  <c r="H75" i="3" s="1"/>
  <c r="D13" i="3"/>
  <c r="D12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M21" i="2"/>
  <c r="H21" i="2" s="1"/>
  <c r="D21" i="2"/>
  <c r="A16" i="1"/>
  <c r="C8" i="2"/>
  <c r="B8" i="2"/>
  <c r="B12" i="16" l="1"/>
  <c r="E12" i="16"/>
  <c r="I12" i="16"/>
  <c r="M12" i="16"/>
  <c r="K12" i="16"/>
  <c r="H12" i="16"/>
  <c r="F12" i="16"/>
  <c r="J12" i="16"/>
  <c r="D12" i="16"/>
  <c r="G12" i="16"/>
  <c r="C12" i="16"/>
  <c r="L12" i="16"/>
  <c r="B13" i="16"/>
  <c r="J75" i="3"/>
  <c r="J207" i="3" s="1"/>
  <c r="H204" i="3"/>
  <c r="D23" i="2"/>
  <c r="H22" i="2"/>
  <c r="M23" i="2"/>
  <c r="D28" i="2"/>
  <c r="D29" i="2" s="1"/>
  <c r="I29" i="2"/>
  <c r="H28" i="2"/>
  <c r="M29" i="2"/>
  <c r="G28" i="2"/>
  <c r="I23" i="2"/>
  <c r="G21" i="2"/>
  <c r="L23" i="2"/>
  <c r="L27" i="2"/>
  <c r="L29" i="2" s="1"/>
  <c r="F10" i="5"/>
  <c r="P10" i="5" s="1"/>
  <c r="C10" i="5"/>
  <c r="M10" i="5" s="1"/>
  <c r="G10" i="5"/>
  <c r="Q10" i="5" s="1"/>
  <c r="D30" i="2" l="1"/>
  <c r="M30" i="2"/>
  <c r="M41" i="2" s="1"/>
  <c r="L30" i="2"/>
  <c r="L41" i="2" s="1"/>
  <c r="I30" i="2"/>
  <c r="I41" i="2" s="1"/>
  <c r="N12" i="16"/>
  <c r="G27" i="2"/>
  <c r="J4" i="9" l="1"/>
  <c r="Q18" i="1" l="1"/>
  <c r="H18" i="1" l="1"/>
  <c r="I18" i="1"/>
  <c r="J18" i="1"/>
  <c r="K18" i="1"/>
  <c r="L18" i="1"/>
  <c r="G4" i="5"/>
  <c r="D4" i="1"/>
  <c r="B10" i="5" l="1"/>
  <c r="A10" i="5"/>
  <c r="A21" i="2" l="1"/>
  <c r="A8" i="16" s="1"/>
  <c r="A9" i="2"/>
  <c r="A12" i="3"/>
  <c r="A9" i="5" l="1"/>
  <c r="B9" i="5"/>
  <c r="G23" i="2" l="1"/>
  <c r="H23" i="2"/>
  <c r="G29" i="2"/>
  <c r="H29" i="2"/>
  <c r="H30" i="2" l="1"/>
  <c r="H41" i="2" s="1"/>
  <c r="G30" i="2"/>
  <c r="G41" i="2" s="1"/>
  <c r="D41" i="2"/>
  <c r="F9" i="2" l="1"/>
  <c r="F12" i="2" s="1"/>
  <c r="J27" i="2" l="1"/>
  <c r="G10" i="2" l="1"/>
  <c r="G11" i="2"/>
  <c r="G9" i="2"/>
  <c r="J29" i="2"/>
  <c r="E27" i="2"/>
  <c r="E29" i="2" s="1"/>
  <c r="H11" i="2" l="1"/>
  <c r="I11" i="2" s="1"/>
  <c r="H10" i="2"/>
  <c r="H9" i="2"/>
  <c r="G12" i="2"/>
  <c r="L9" i="2" s="1"/>
  <c r="N29" i="2"/>
  <c r="O29" i="2"/>
  <c r="L10" i="2" l="1"/>
  <c r="L11" i="2"/>
  <c r="H12" i="2"/>
  <c r="Q29" i="2"/>
  <c r="L12" i="2" l="1"/>
  <c r="D10" i="5"/>
  <c r="N10" i="5" s="1"/>
  <c r="J21" i="2"/>
  <c r="J23" i="2" s="1"/>
  <c r="J30" i="2" l="1"/>
  <c r="J41" i="2" s="1"/>
  <c r="E21" i="2"/>
  <c r="E23" i="2" s="1"/>
  <c r="O23" i="2"/>
  <c r="O30" i="2" s="1"/>
  <c r="E30" i="2" l="1"/>
  <c r="E41" i="2" s="1"/>
  <c r="O41" i="2"/>
  <c r="G9" i="16"/>
  <c r="G13" i="16" s="1"/>
  <c r="K9" i="16"/>
  <c r="K13" i="16" s="1"/>
  <c r="H9" i="16"/>
  <c r="H13" i="16" s="1"/>
  <c r="L9" i="16"/>
  <c r="L13" i="16" s="1"/>
  <c r="I9" i="16"/>
  <c r="I13" i="16" s="1"/>
  <c r="M9" i="16"/>
  <c r="M13" i="16" s="1"/>
  <c r="F9" i="16"/>
  <c r="F13" i="16" s="1"/>
  <c r="J9" i="16"/>
  <c r="J13" i="16" s="1"/>
  <c r="E9" i="16"/>
  <c r="E13" i="16" s="1"/>
  <c r="N23" i="2"/>
  <c r="N30" i="2" s="1"/>
  <c r="C9" i="2" l="1"/>
  <c r="C12" i="2" s="1"/>
  <c r="Q23" i="2"/>
  <c r="Q30" i="2" s="1"/>
  <c r="N41" i="2" l="1"/>
  <c r="D9" i="16"/>
  <c r="D13" i="16" s="1"/>
  <c r="C9" i="16"/>
  <c r="I10" i="2"/>
  <c r="Q41" i="2"/>
  <c r="B9" i="2"/>
  <c r="N9" i="16" l="1"/>
  <c r="N13" i="16" s="1"/>
  <c r="C13" i="16"/>
  <c r="B12" i="2"/>
  <c r="E9" i="2"/>
  <c r="E12" i="2" s="1"/>
  <c r="I9" i="2" l="1"/>
  <c r="I12" i="2" s="1"/>
  <c r="D75" i="3"/>
  <c r="D204" i="3" s="1"/>
</calcChain>
</file>

<file path=xl/sharedStrings.xml><?xml version="1.0" encoding="utf-8"?>
<sst xmlns="http://schemas.openxmlformats.org/spreadsheetml/2006/main" count="961" uniqueCount="330">
  <si>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</si>
  <si>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</si>
  <si>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</si>
  <si>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</si>
  <si>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</si>
  <si>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</si>
  <si>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</si>
  <si>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</si>
  <si>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</si>
  <si>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</si>
  <si>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</si>
  <si>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</si>
  <si>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</si>
  <si>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</si>
  <si>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</si>
  <si>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</si>
  <si>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</si>
  <si>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</si>
  <si>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</si>
  <si>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</si>
  <si>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</si>
  <si>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</si>
  <si>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</si>
  <si>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</si>
  <si>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</si>
  <si>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</si>
  <si>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</si>
  <si>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</si>
  <si>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</si>
  <si>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</si>
  <si>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</si>
  <si>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</si>
  <si>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</si>
  <si>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</si>
  <si>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</si>
  <si>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</si>
  <si>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</si>
  <si>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</si>
  <si>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</si>
  <si>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</si>
  <si>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</si>
  <si>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</si>
  <si>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</si>
  <si>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</si>
  <si>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</si>
  <si>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</si>
  <si>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</si>
  <si>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</si>
  <si>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</si>
  <si>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</si>
  <si>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</si>
  <si>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</si>
  <si>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</si>
  <si>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</si>
  <si>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</si>
  <si>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</si>
  <si>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</si>
  <si>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</si>
  <si>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</si>
  <si>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</si>
  <si>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</si>
  <si>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</si>
  <si>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</si>
  <si>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</si>
  <si>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</si>
  <si>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</si>
  <si>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</si>
  <si>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</si>
  <si>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</si>
  <si>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</si>
  <si>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</si>
  <si>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</si>
  <si>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</si>
  <si>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</si>
  <si>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</si>
  <si>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</si>
  <si>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</si>
  <si>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</si>
  <si>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</si>
  <si>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</si>
  <si>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</si>
  <si>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</si>
  <si>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</si>
  <si>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</si>
  <si>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</si>
  <si>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</si>
  <si>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</si>
  <si>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</si>
  <si>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</si>
  <si>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</si>
  <si>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</si>
  <si>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</si>
  <si>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</si>
  <si>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</si>
  <si>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</si>
  <si>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</si>
  <si>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</si>
  <si>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</si>
  <si>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</si>
  <si>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</si>
  <si>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</si>
  <si>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</si>
  <si>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</si>
  <si>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</si>
  <si>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</si>
  <si>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</si>
  <si>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</si>
  <si>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</si>
  <si>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</si>
  <si>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</si>
  <si>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</si>
  <si>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</si>
  <si>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</si>
  <si>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</si>
  <si>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</si>
  <si>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</si>
  <si>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</si>
  <si>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</si>
  <si>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</si>
  <si>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</si>
  <si>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</si>
  <si>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</si>
  <si>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</si>
  <si>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</si>
  <si>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</si>
  <si>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</si>
  <si>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</si>
  <si>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</si>
  <si>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</si>
  <si>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</si>
  <si>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</si>
  <si>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</si>
  <si>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</si>
  <si>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Jardines Infantiles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</si>
  <si>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</si>
  <si>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</si>
  <si>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</si>
  <si>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</si>
  <si>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</si>
  <si>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</si>
  <si>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</si>
  <si>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</si>
  <si>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</si>
  <si>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</si>
  <si>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</si>
  <si>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</si>
  <si>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</si>
  <si>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</si>
  <si>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</si>
  <si>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</si>
  <si>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</si>
  <si>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</si>
  <si>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</si>
  <si>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</si>
  <si>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</si>
  <si>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</si>
  <si>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</si>
  <si>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</si>
  <si>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</si>
  <si>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</si>
  <si>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</si>
  <si>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</si>
  <si>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</si>
  <si>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</si>
  <si>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</si>
  <si>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</si>
  <si>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</si>
  <si>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</si>
  <si>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</si>
  <si>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</si>
  <si>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</si>
  <si>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</si>
  <si>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</si>
  <si>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</si>
  <si>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</si>
  <si>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</si>
  <si>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</si>
  <si>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</si>
  <si>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</si>
  <si>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</si>
  <si>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</si>
  <si>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</si>
  <si>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</si>
  <si>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</si>
  <si>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</si>
  <si>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</si>
  <si>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</si>
  <si>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</si>
  <si>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</si>
  <si>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</si>
  <si>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</si>
  <si>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</si>
  <si>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</si>
  <si>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</si>
  <si>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</si>
  <si>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</si>
  <si>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</si>
  <si>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</si>
  <si>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</si>
  <si>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</si>
  <si>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</si>
  <si>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</si>
  <si>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</si>
  <si>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</si>
  <si>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</si>
  <si>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</si>
  <si>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</si>
  <si>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</si>
  <si>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>Jardín Infantil Olitas de Mar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</si>
  <si>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</si>
  <si>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</si>
  <si>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</si>
  <si>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</si>
  <si>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</si>
  <si>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</si>
  <si>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</si>
  <si>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</si>
  <si>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</si>
  <si>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Gasto Total Empresa</t>
  </si>
  <si>
    <t xml:space="preserve"> Sala Cuna Olitas de Mar</t>
  </si>
  <si>
    <t>Sala Cuna Olitas de Mar</t>
  </si>
  <si>
    <t>Media Jornada</t>
  </si>
  <si>
    <t>Nocturna</t>
  </si>
  <si>
    <t>Diurna</t>
  </si>
  <si>
    <t>Sala Cuna Olitas de Mar Diurna</t>
  </si>
  <si>
    <t>Sala Cuna Olitas de Mar Nocturna</t>
  </si>
  <si>
    <t>TOTAL</t>
  </si>
  <si>
    <t xml:space="preserve"> COSTOS DIRECTOS COMUNES  "JARDIN INFANTIL Y SALA CUNA OLITAS DE MAR"</t>
  </si>
  <si>
    <t>JI (80%)</t>
  </si>
  <si>
    <t>SC (20%)</t>
  </si>
  <si>
    <t>Mensualidad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</si>
  <si>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</si>
  <si>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</si>
  <si>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</si>
  <si>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</si>
  <si>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</si>
  <si>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</si>
  <si>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</si>
  <si>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</si>
  <si>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</si>
  <si>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</si>
  <si>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</si>
  <si>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</si>
  <si>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</si>
  <si>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</si>
  <si>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</si>
  <si>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BONOS CÓDIGO DEL TRABAJO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</si>
  <si>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</si>
  <si>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</si>
  <si>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</si>
  <si>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</si>
  <si>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</si>
  <si>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</si>
  <si>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DELBIENSAN</t>
  </si>
  <si>
    <t>Gasto Total Empresa
2022</t>
  </si>
  <si>
    <t xml:space="preserve">Ed. De Párvulos </t>
  </si>
  <si>
    <t>Man. De Alimentos</t>
  </si>
  <si>
    <t>Técnicos en párvulos</t>
  </si>
  <si>
    <t>Aux.  De Aseo</t>
  </si>
  <si>
    <t>Matrícula 2023</t>
  </si>
  <si>
    <t>Mensualidad 2023</t>
  </si>
  <si>
    <t>Tarifa 2023</t>
  </si>
  <si>
    <t>Propuesta Mensualidad 2023</t>
  </si>
  <si>
    <t>Meta Ocupación niños 2023</t>
  </si>
  <si>
    <t>COSTO DIRECTO ESTIMADO 2023</t>
  </si>
  <si>
    <t>REMUNERACIONES 2022</t>
  </si>
  <si>
    <t>Costo Total anual por Servidor 2022</t>
  </si>
  <si>
    <t>Costo Total por Servidor Reajustado 2023</t>
  </si>
  <si>
    <t>COSTO INDIRECTO ESTIMADO 2023</t>
  </si>
  <si>
    <t>Gasto Total Empresa
2023</t>
  </si>
  <si>
    <t>Nueva</t>
  </si>
  <si>
    <t>María José</t>
  </si>
  <si>
    <t>Maldonado Fernández</t>
  </si>
  <si>
    <t>Francisca</t>
  </si>
  <si>
    <t>Lillo Pardo</t>
  </si>
  <si>
    <t>Mónica</t>
  </si>
  <si>
    <t>Cornejo Morales</t>
  </si>
  <si>
    <t xml:space="preserve">Gladys </t>
  </si>
  <si>
    <t>Toledo Garrido</t>
  </si>
  <si>
    <t>Elizabeth Bayer</t>
  </si>
  <si>
    <t>Pre-Post Natal/Parental</t>
  </si>
  <si>
    <t>Bárbara Ovalle Morales</t>
  </si>
  <si>
    <t>Reemplazo Ingreso Ago22</t>
  </si>
  <si>
    <t>Karla Correa Rodriguez</t>
  </si>
  <si>
    <t>Yacobsy</t>
  </si>
  <si>
    <t>Zuñiga Poveda</t>
  </si>
  <si>
    <t>Mafalda</t>
  </si>
  <si>
    <t>Aguayo Barrera</t>
  </si>
  <si>
    <t>Ximena</t>
  </si>
  <si>
    <t>Abarca</t>
  </si>
  <si>
    <t xml:space="preserve">Edilia </t>
  </si>
  <si>
    <t>Vidal Àlvarez</t>
  </si>
  <si>
    <t>Encargado Contabilidad</t>
  </si>
  <si>
    <t>Myriam</t>
  </si>
  <si>
    <t>Flores Vasquez</t>
  </si>
  <si>
    <t>Enc. Rendición de Cuenta</t>
  </si>
  <si>
    <t xml:space="preserve">Sebastián </t>
  </si>
  <si>
    <t>Vásquez Castro</t>
  </si>
  <si>
    <t>Encargado Activo Fijo</t>
  </si>
  <si>
    <t>Macarena</t>
  </si>
  <si>
    <t>Pulgar Montecino</t>
  </si>
  <si>
    <t>Enc. Adquisiciones</t>
  </si>
  <si>
    <t>Josefa</t>
  </si>
  <si>
    <t>Hernandez De La Fuente</t>
  </si>
  <si>
    <t>Encargado RR.HH.</t>
  </si>
  <si>
    <t>Sergio</t>
  </si>
  <si>
    <t>Bueno Bueno</t>
  </si>
  <si>
    <t>Quiroz Ortega</t>
  </si>
  <si>
    <t>Pablo</t>
  </si>
  <si>
    <t xml:space="preserve">Torres </t>
  </si>
  <si>
    <t>Jardín Infantil VITAMINA</t>
  </si>
  <si>
    <t>Sala Cuna VITAMINA</t>
  </si>
  <si>
    <t>Jardín Infantil BARBARITA</t>
  </si>
  <si>
    <t>Sala Cuna RAYITO DE SOL</t>
  </si>
  <si>
    <t>PAGO DE SALA CUNA</t>
  </si>
  <si>
    <t>EMPL. FONDOS PROPIOS</t>
  </si>
  <si>
    <t>JARDIN INFANTIL</t>
  </si>
  <si>
    <t>GASTO DE ALIMENTACION DE PERSONAL LEY 18,712 (7 FUNCIONARIAS), SE CONSIDERO VALOR DE RACIÓN REAJUSTADO CON UN 13%</t>
  </si>
  <si>
    <t>GASTOS DE ALIMENTACIÓN DE PARVULOS SEGÚN PROYECCION, VALOR REAJUSTADO EN UN 13%</t>
  </si>
  <si>
    <t>GASTOS DE ALIMENTACIÓN DE ALUMNAS EN PRÁCTICA, SE PROYECTARON 02 ALUMNAS SEMESTRALES</t>
  </si>
  <si>
    <t>UNIFORME DEL PERSONAL</t>
  </si>
  <si>
    <t>CALAZADO DE MANIPULADORA DE ALIMENTOS</t>
  </si>
  <si>
    <t>GASTO POR MANTENCIÓN DE HUERTO SEMILLITA MARINA</t>
  </si>
  <si>
    <t>GASTOS DE ALIMENTACIÓN DE ALUMNAS EN PRÁCTICA, SE PROYECTARON 01 ALUMNA SEMESTRAL</t>
  </si>
  <si>
    <t>NOTA: EN EL SIGUIENTE CUADRO SE CONSIDERÓ GASTO DE SALA CUNA DE EMPL. LEY 18,712 QUE DEBERÍA REINCORPORARSE A SUS FUNCIONES A CONTAR DE MARZO 2023</t>
  </si>
  <si>
    <t>CALZADO DE MANIPULADORA DE ALIMENTOS</t>
  </si>
  <si>
    <t>Jardinero (100%)</t>
  </si>
  <si>
    <t>Encargado Sostenimiento (25%)</t>
  </si>
  <si>
    <t>Gásfiter (15%)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</si>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</sst>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 &quot;$&quot;* #,##0_ ;_ &quot;$&quot;* \-#,##0_ ;_ &quot;$&quot;* &quot;-&quot;_ ;_ @_ "/>
    <numFmt numFmtId="164" formatCode="_-* #,##0.00_-;\-* #,##0.00_-;_-* &quot;-&quot;??_-;_-@_-"/>
    <numFmt numFmtId="165" formatCode="_-\$* #,##0.00_-;&quot;-$&quot;* #,##0.00_-;_-\$* \-??_-;_-@_-"/>
    <numFmt numFmtId="166" formatCode="\$#,##0_);&quot;($&quot;#,##0\)"/>
    <numFmt numFmtId="167" formatCode="_-&quot;$ &quot;* #,##0_-;&quot;-$ &quot;* #,##0_-;_-&quot;$ &quot;* \-_-;_-@_-"/>
    <numFmt numFmtId="168" formatCode="0\ %"/>
    <numFmt numFmtId="169" formatCode="0.0%"/>
    <numFmt numFmtId="170" formatCode="#,##0_ ;[Red]\-#,##0\ "/>
    <numFmt numFmtId="171" formatCode="_-* #,##0.00_-;\-* #,##0.00_-;_-* \-??_-;_-@_-"/>
    <numFmt numFmtId="172" formatCode="_-\ * #,##0_-;&quot;$ &quot;* #,##0_-;_-\ * \-_-;_-@_-"/>
    <numFmt numFmtId="173" formatCode="_-* #,##0.0_-;\-* #,##0.0_-;_-* \-??_-;_-@_-"/>
    <numFmt numFmtId="174" formatCode="_(* #,##0_);_(* \(#,##0\);_(* \-_);_(@_)"/>
    <numFmt numFmtId="175" formatCode="_-* #,##0_-;\-* #,##0_-;_-* \-??_-;_-@_-"/>
    <numFmt numFmtId="176" formatCode="&quot;$&quot;\ #,##0"/>
    <numFmt numFmtId="177" formatCode="_-&quot;$&quot;* #,##0_-;\-&quot;$&quot;* #,##0_-;_-&quot;$&quot;* &quot;-&quot;??_-;_-@_-"/>
    <numFmt numFmtId="178" formatCode="#,##0_ ;\-#,##0\ "/>
    <numFmt numFmtId="179" formatCode="0.00\ %"/>
    <numFmt numFmtId="180" formatCode="_-\$* #,##0_-;&quot;-$&quot;* #,##0_-;_-\$* \-??_-;_-@_-"/>
    <numFmt numFmtId="181" formatCode="_-[$$-340A]\ * #,##0_-;\-[$$-340A]\ * #,##0_-;_-[$$-340A]\ * &quot;-&quot;??_-;_-@_-"/>
    <numFmt numFmtId="182" formatCode="_-* #,##0.00\ &quot;€&quot;_-;\-* #,##0.00\ &quot;€&quot;_-;_-* &quot;-&quot;??\ &quot;€&quot;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&quot;$&quot;\ * #,##0_-;\-&quot;$&quot;\ * #,##0_-;_-&quot;$&quot;\ * &quot;-&quot;??_-;_-@_-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gray125">
        <bgColor theme="0" tint="-0.14999847407452621"/>
      </patternFill>
    </fill>
    <fill>
      <patternFill patternType="gray125">
        <bgColor rgb="FFFFFF00"/>
      </patternFill>
    </fill>
    <fill>
      <patternFill patternType="gray125">
        <bgColor theme="4" tint="0.59999389629810485"/>
      </patternFill>
    </fill>
    <fill>
      <patternFill patternType="gray125">
        <bgColor theme="3" tint="0.79998168889431442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3" tint="0.59999389629810485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gray125">
        <bgColor theme="9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2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14" fillId="0" borderId="0"/>
    <xf numFmtId="165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8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71" fontId="14" fillId="0" borderId="0" applyFill="0" applyBorder="0" applyAlignment="0" applyProtection="0"/>
    <xf numFmtId="165" fontId="14" fillId="0" borderId="0" applyFill="0" applyBorder="0" applyAlignment="0" applyProtection="0"/>
    <xf numFmtId="182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42" fontId="14" fillId="0" borderId="0" applyFont="0" applyFill="0" applyBorder="0" applyAlignment="0" applyProtection="0"/>
    <xf numFmtId="0" fontId="5" fillId="8" borderId="209" applyNumberFormat="0" applyAlignment="0" applyProtection="0"/>
    <xf numFmtId="0" fontId="5" fillId="8" borderId="206" applyNumberFormat="0" applyAlignment="0" applyProtection="0"/>
    <xf numFmtId="0" fontId="5" fillId="8" borderId="207" applyNumberFormat="0" applyAlignment="0" applyProtection="0"/>
    <xf numFmtId="0" fontId="5" fillId="8" borderId="219" applyNumberFormat="0" applyAlignment="0" applyProtection="0"/>
    <xf numFmtId="0" fontId="5" fillId="8" borderId="213" applyNumberFormat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78">
    <xf numFmtId="0" fontId="0" fillId="0" borderId="0" xfId="0"/>
    <xf numFmtId="0" fontId="0" fillId="0" borderId="0" xfId="0" applyFont="1" applyProtection="1"/>
    <xf numFmtId="168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9" borderId="0" xfId="0" applyFont="1" applyFill="1" applyBorder="1" applyAlignment="1" applyProtection="1">
      <alignment horizontal="left" vertical="center"/>
    </xf>
    <xf numFmtId="167" fontId="13" fillId="9" borderId="0" xfId="13" applyNumberFormat="1" applyFont="1" applyFill="1" applyBorder="1" applyAlignment="1" applyProtection="1">
      <alignment vertical="center"/>
    </xf>
    <xf numFmtId="165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0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5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8" fontId="16" fillId="0" borderId="0" xfId="16" applyFont="1" applyBorder="1" applyAlignment="1" applyProtection="1">
      <alignment vertical="center"/>
    </xf>
    <xf numFmtId="173" fontId="0" fillId="0" borderId="0" xfId="12" applyNumberFormat="1" applyFont="1" applyFill="1" applyBorder="1" applyAlignment="1" applyProtection="1">
      <alignment vertical="center"/>
    </xf>
    <xf numFmtId="168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6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6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6" fontId="0" fillId="0" borderId="0" xfId="0" applyNumberFormat="1" applyFont="1" applyFill="1" applyBorder="1" applyProtection="1"/>
    <xf numFmtId="176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vertical="center"/>
    </xf>
    <xf numFmtId="168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19" xfId="0" applyFont="1" applyFill="1" applyBorder="1" applyAlignment="1" applyProtection="1">
      <alignment horizontal="center" vertical="center" wrapText="1"/>
    </xf>
    <xf numFmtId="0" fontId="23" fillId="0" borderId="3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6" fontId="13" fillId="26" borderId="19" xfId="0" applyNumberFormat="1" applyFont="1" applyFill="1" applyBorder="1" applyAlignment="1" applyProtection="1">
      <alignment horizontal="center" vertical="center"/>
    </xf>
    <xf numFmtId="169" fontId="13" fillId="19" borderId="19" xfId="16" applyNumberFormat="1" applyFont="1" applyFill="1" applyBorder="1" applyAlignment="1" applyProtection="1">
      <alignment horizontal="center" vertical="center"/>
    </xf>
    <xf numFmtId="176" fontId="0" fillId="26" borderId="19" xfId="0" applyNumberFormat="1" applyFont="1" applyFill="1" applyBorder="1" applyAlignment="1" applyProtection="1">
      <alignment horizontal="center" vertical="center"/>
    </xf>
    <xf numFmtId="176" fontId="23" fillId="26" borderId="15" xfId="0" applyNumberFormat="1" applyFont="1" applyFill="1" applyBorder="1" applyAlignment="1" applyProtection="1">
      <alignment horizontal="right" vertical="center"/>
    </xf>
    <xf numFmtId="168" fontId="15" fillId="19" borderId="6" xfId="16" applyFont="1" applyFill="1" applyBorder="1" applyAlignment="1" applyProtection="1">
      <alignment horizontal="center" vertical="center"/>
    </xf>
    <xf numFmtId="0" fontId="13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7" fontId="0" fillId="0" borderId="0" xfId="13" applyNumberFormat="1" applyFont="1" applyFill="1" applyBorder="1" applyAlignment="1" applyProtection="1">
      <alignment vertical="center"/>
    </xf>
    <xf numFmtId="0" fontId="0" fillId="12" borderId="26" xfId="0" applyFont="1" applyFill="1" applyBorder="1" applyAlignment="1" applyProtection="1">
      <alignment horizontal="left" vertical="center"/>
      <protection locked="0"/>
    </xf>
    <xf numFmtId="0" fontId="0" fillId="12" borderId="14" xfId="0" applyFont="1" applyFill="1" applyBorder="1" applyAlignment="1" applyProtection="1">
      <alignment horizontal="left" vertical="center"/>
      <protection locked="0"/>
    </xf>
    <xf numFmtId="0" fontId="0" fillId="12" borderId="17" xfId="0" applyFont="1" applyFill="1" applyBorder="1" applyProtection="1">
      <protection locked="0"/>
    </xf>
    <xf numFmtId="168" fontId="14" fillId="0" borderId="19" xfId="16" applyBorder="1" applyAlignment="1" applyProtection="1">
      <alignment horizontal="center" vertical="center"/>
    </xf>
    <xf numFmtId="168" fontId="13" fillId="16" borderId="19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7" fontId="13" fillId="34" borderId="44" xfId="0" applyNumberFormat="1" applyFont="1" applyFill="1" applyBorder="1" applyAlignment="1" applyProtection="1">
      <alignment horizontal="center" vertical="center" wrapText="1"/>
    </xf>
    <xf numFmtId="167" fontId="13" fillId="34" borderId="47" xfId="0" applyNumberFormat="1" applyFont="1" applyFill="1" applyBorder="1" applyAlignment="1" applyProtection="1">
      <alignment horizontal="center" vertical="center" wrapText="1"/>
    </xf>
    <xf numFmtId="0" fontId="0" fillId="12" borderId="49" xfId="0" applyFont="1" applyFill="1" applyBorder="1" applyProtection="1">
      <protection locked="0"/>
    </xf>
    <xf numFmtId="0" fontId="28" fillId="0" borderId="0" xfId="0" applyFont="1" applyFill="1" applyBorder="1" applyAlignment="1" applyProtection="1">
      <alignment horizontal="center" vertical="center" wrapText="1"/>
    </xf>
    <xf numFmtId="168" fontId="29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177" fontId="0" fillId="12" borderId="64" xfId="13" applyNumberFormat="1" applyFont="1" applyFill="1" applyBorder="1" applyAlignment="1" applyProtection="1">
      <alignment vertical="center"/>
      <protection locked="0"/>
    </xf>
    <xf numFmtId="177" fontId="0" fillId="12" borderId="65" xfId="13" applyNumberFormat="1" applyFont="1" applyFill="1" applyBorder="1" applyAlignment="1" applyProtection="1">
      <alignment vertical="center"/>
      <protection locked="0"/>
    </xf>
    <xf numFmtId="0" fontId="0" fillId="12" borderId="66" xfId="0" applyFont="1" applyFill="1" applyBorder="1" applyAlignment="1" applyProtection="1">
      <alignment horizontal="left" vertical="center"/>
      <protection locked="0"/>
    </xf>
    <xf numFmtId="0" fontId="0" fillId="12" borderId="66" xfId="0" applyFont="1" applyFill="1" applyBorder="1" applyProtection="1">
      <protection locked="0"/>
    </xf>
    <xf numFmtId="0" fontId="0" fillId="12" borderId="67" xfId="0" applyFont="1" applyFill="1" applyBorder="1" applyProtection="1">
      <protection locked="0"/>
    </xf>
    <xf numFmtId="177" fontId="0" fillId="12" borderId="66" xfId="13" applyNumberFormat="1" applyFont="1" applyFill="1" applyBorder="1" applyAlignment="1" applyProtection="1">
      <alignment vertical="center"/>
      <protection locked="0"/>
    </xf>
    <xf numFmtId="0" fontId="0" fillId="12" borderId="69" xfId="0" applyFont="1" applyFill="1" applyBorder="1" applyProtection="1">
      <protection locked="0"/>
    </xf>
    <xf numFmtId="0" fontId="0" fillId="12" borderId="62" xfId="0" applyFont="1" applyFill="1" applyBorder="1" applyAlignment="1" applyProtection="1">
      <alignment horizontal="left" vertical="center"/>
      <protection locked="0"/>
    </xf>
    <xf numFmtId="0" fontId="0" fillId="12" borderId="62" xfId="0" applyFont="1" applyFill="1" applyBorder="1" applyProtection="1">
      <protection locked="0"/>
    </xf>
    <xf numFmtId="0" fontId="0" fillId="12" borderId="65" xfId="0" applyFont="1" applyFill="1" applyBorder="1" applyAlignment="1" applyProtection="1">
      <alignment horizontal="left" vertical="center"/>
      <protection locked="0"/>
    </xf>
    <xf numFmtId="0" fontId="0" fillId="12" borderId="65" xfId="0" applyFont="1" applyFill="1" applyBorder="1" applyProtection="1">
      <protection locked="0"/>
    </xf>
    <xf numFmtId="0" fontId="0" fillId="12" borderId="71" xfId="0" applyFont="1" applyFill="1" applyBorder="1" applyProtection="1">
      <protection locked="0"/>
    </xf>
    <xf numFmtId="177" fontId="0" fillId="12" borderId="69" xfId="13" applyNumberFormat="1" applyFont="1" applyFill="1" applyBorder="1" applyAlignment="1" applyProtection="1">
      <alignment vertical="center"/>
      <protection locked="0"/>
    </xf>
    <xf numFmtId="177" fontId="0" fillId="12" borderId="71" xfId="13" applyNumberFormat="1" applyFont="1" applyFill="1" applyBorder="1" applyAlignment="1" applyProtection="1">
      <alignment vertical="center"/>
      <protection locked="0"/>
    </xf>
    <xf numFmtId="177" fontId="0" fillId="12" borderId="67" xfId="13" applyNumberFormat="1" applyFont="1" applyFill="1" applyBorder="1" applyAlignment="1" applyProtection="1">
      <alignment vertical="center"/>
      <protection locked="0"/>
    </xf>
    <xf numFmtId="0" fontId="0" fillId="12" borderId="77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1" fillId="23" borderId="65" xfId="0" applyFont="1" applyFill="1" applyBorder="1" applyAlignment="1" applyProtection="1">
      <alignment horizontal="left" vertical="center"/>
    </xf>
    <xf numFmtId="0" fontId="11" fillId="20" borderId="65" xfId="0" applyFont="1" applyFill="1" applyBorder="1" applyAlignment="1" applyProtection="1">
      <alignment horizontal="left" vertical="center"/>
    </xf>
    <xf numFmtId="174" fontId="19" fillId="0" borderId="65" xfId="0" applyNumberFormat="1" applyFont="1" applyFill="1" applyBorder="1" applyAlignment="1" applyProtection="1">
      <alignment horizontal="left"/>
    </xf>
    <xf numFmtId="0" fontId="13" fillId="21" borderId="65" xfId="0" applyFont="1" applyFill="1" applyBorder="1" applyAlignment="1" applyProtection="1">
      <alignment horizontal="center" vertical="center"/>
    </xf>
    <xf numFmtId="0" fontId="13" fillId="20" borderId="65" xfId="0" applyFont="1" applyFill="1" applyBorder="1" applyAlignment="1" applyProtection="1">
      <alignment horizontal="center" vertical="center" wrapText="1"/>
    </xf>
    <xf numFmtId="1" fontId="0" fillId="0" borderId="65" xfId="0" applyNumberFormat="1" applyFont="1" applyFill="1" applyBorder="1" applyAlignment="1" applyProtection="1">
      <alignment horizontal="center" vertical="center" wrapText="1"/>
    </xf>
    <xf numFmtId="167" fontId="11" fillId="23" borderId="65" xfId="13" applyNumberFormat="1" applyFont="1" applyFill="1" applyBorder="1" applyAlignment="1" applyProtection="1">
      <alignment horizontal="center" vertical="center"/>
    </xf>
    <xf numFmtId="167" fontId="11" fillId="20" borderId="65" xfId="13" applyNumberFormat="1" applyFont="1" applyFill="1" applyBorder="1" applyAlignment="1" applyProtection="1">
      <alignment horizontal="center" vertical="center"/>
    </xf>
    <xf numFmtId="167" fontId="0" fillId="12" borderId="65" xfId="13" applyNumberFormat="1" applyFont="1" applyFill="1" applyBorder="1" applyAlignment="1" applyProtection="1">
      <alignment vertical="center"/>
      <protection locked="0"/>
    </xf>
    <xf numFmtId="0" fontId="13" fillId="30" borderId="65" xfId="0" applyFont="1" applyFill="1" applyBorder="1" applyAlignment="1" applyProtection="1">
      <alignment horizontal="center" vertical="center" wrapText="1"/>
    </xf>
    <xf numFmtId="0" fontId="13" fillId="31" borderId="65" xfId="0" applyFont="1" applyFill="1" applyBorder="1" applyAlignment="1" applyProtection="1">
      <alignment horizontal="left" vertical="center"/>
    </xf>
    <xf numFmtId="167" fontId="13" fillId="30" borderId="65" xfId="0" applyNumberFormat="1" applyFont="1" applyFill="1" applyBorder="1" applyAlignment="1" applyProtection="1">
      <alignment horizontal="center" vertical="center" wrapText="1"/>
    </xf>
    <xf numFmtId="9" fontId="0" fillId="12" borderId="78" xfId="0" applyNumberFormat="1" applyFont="1" applyFill="1" applyBorder="1" applyAlignment="1" applyProtection="1">
      <alignment horizontal="center" vertical="center"/>
      <protection locked="0"/>
    </xf>
    <xf numFmtId="181" fontId="0" fillId="11" borderId="0" xfId="0" applyNumberFormat="1" applyFont="1" applyFill="1" applyProtection="1"/>
    <xf numFmtId="180" fontId="0" fillId="11" borderId="0" xfId="0" applyNumberFormat="1" applyFont="1" applyFill="1" applyProtection="1"/>
    <xf numFmtId="179" fontId="14" fillId="36" borderId="99" xfId="16" applyNumberFormat="1" applyFill="1" applyBorder="1" applyAlignment="1" applyProtection="1">
      <alignment horizontal="center" vertical="center"/>
    </xf>
    <xf numFmtId="179" fontId="14" fillId="36" borderId="100" xfId="16" applyNumberFormat="1" applyFill="1" applyBorder="1" applyAlignment="1" applyProtection="1">
      <alignment horizontal="center" vertical="center"/>
    </xf>
    <xf numFmtId="179" fontId="14" fillId="36" borderId="101" xfId="16" applyNumberFormat="1" applyFill="1" applyBorder="1" applyAlignment="1" applyProtection="1">
      <alignment horizontal="center" vertical="center"/>
    </xf>
    <xf numFmtId="179" fontId="14" fillId="36" borderId="102" xfId="16" applyNumberFormat="1" applyFill="1" applyBorder="1" applyAlignment="1" applyProtection="1">
      <alignment horizontal="center" vertical="center"/>
    </xf>
    <xf numFmtId="178" fontId="0" fillId="12" borderId="104" xfId="13" applyNumberFormat="1" applyFont="1" applyFill="1" applyBorder="1" applyAlignment="1" applyProtection="1">
      <alignment horizontal="center" vertical="center"/>
      <protection locked="0"/>
    </xf>
    <xf numFmtId="168" fontId="14" fillId="0" borderId="0" xfId="16" applyProtection="1"/>
    <xf numFmtId="180" fontId="14" fillId="0" borderId="0" xfId="13" applyNumberFormat="1" applyProtection="1"/>
    <xf numFmtId="0" fontId="23" fillId="12" borderId="36" xfId="0" applyFont="1" applyFill="1" applyBorder="1" applyAlignment="1" applyProtection="1">
      <alignment horizontal="center" vertical="center"/>
      <protection locked="0"/>
    </xf>
    <xf numFmtId="177" fontId="0" fillId="12" borderId="101" xfId="13" applyNumberFormat="1" applyFont="1" applyFill="1" applyBorder="1" applyAlignment="1" applyProtection="1">
      <alignment vertical="center"/>
      <protection locked="0"/>
    </xf>
    <xf numFmtId="9" fontId="0" fillId="12" borderId="102" xfId="0" applyNumberFormat="1" applyFont="1" applyFill="1" applyBorder="1" applyAlignment="1" applyProtection="1">
      <alignment horizontal="center" vertical="center"/>
      <protection locked="0"/>
    </xf>
    <xf numFmtId="176" fontId="0" fillId="0" borderId="103" xfId="0" applyNumberFormat="1" applyFont="1" applyFill="1" applyBorder="1" applyAlignment="1" applyProtection="1">
      <alignment horizontal="right" vertical="center"/>
    </xf>
    <xf numFmtId="176" fontId="0" fillId="0" borderId="69" xfId="0" applyNumberFormat="1" applyFont="1" applyFill="1" applyBorder="1" applyAlignment="1" applyProtection="1">
      <alignment horizontal="right" vertical="center"/>
    </xf>
    <xf numFmtId="176" fontId="0" fillId="0" borderId="111" xfId="0" applyNumberFormat="1" applyFont="1" applyFill="1" applyBorder="1" applyAlignment="1" applyProtection="1">
      <alignment horizontal="right" vertical="center"/>
    </xf>
    <xf numFmtId="176" fontId="0" fillId="0" borderId="97" xfId="0" applyNumberFormat="1" applyFont="1" applyFill="1" applyBorder="1" applyAlignment="1" applyProtection="1">
      <alignment horizontal="right" vertical="center"/>
    </xf>
    <xf numFmtId="9" fontId="0" fillId="12" borderId="106" xfId="0" applyNumberFormat="1" applyFont="1" applyFill="1" applyBorder="1" applyAlignment="1" applyProtection="1">
      <alignment horizontal="center" vertical="center"/>
      <protection locked="0"/>
    </xf>
    <xf numFmtId="0" fontId="10" fillId="14" borderId="106" xfId="0" applyFont="1" applyFill="1" applyBorder="1" applyAlignment="1" applyProtection="1">
      <alignment horizontal="center" vertical="center"/>
    </xf>
    <xf numFmtId="0" fontId="10" fillId="46" borderId="105" xfId="0" applyFont="1" applyFill="1" applyBorder="1" applyAlignment="1" applyProtection="1">
      <alignment horizontal="center" vertical="center"/>
    </xf>
    <xf numFmtId="0" fontId="10" fillId="14" borderId="97" xfId="0" applyFont="1" applyFill="1" applyBorder="1" applyAlignment="1" applyProtection="1">
      <alignment horizontal="center" vertical="center"/>
    </xf>
    <xf numFmtId="0" fontId="10" fillId="46" borderId="118" xfId="0" applyFont="1" applyFill="1" applyBorder="1" applyAlignment="1" applyProtection="1">
      <alignment horizontal="center" vertical="center"/>
    </xf>
    <xf numFmtId="168" fontId="0" fillId="12" borderId="80" xfId="16" applyFont="1" applyFill="1" applyBorder="1" applyAlignment="1" applyProtection="1">
      <alignment horizontal="center" vertical="center"/>
      <protection locked="0"/>
    </xf>
    <xf numFmtId="168" fontId="0" fillId="12" borderId="119" xfId="16" applyFont="1" applyFill="1" applyBorder="1" applyAlignment="1" applyProtection="1">
      <alignment horizontal="center" vertical="center"/>
      <protection locked="0"/>
    </xf>
    <xf numFmtId="168" fontId="0" fillId="12" borderId="118" xfId="16" applyFont="1" applyFill="1" applyBorder="1" applyAlignment="1" applyProtection="1">
      <alignment horizontal="center" vertical="center"/>
      <protection locked="0"/>
    </xf>
    <xf numFmtId="176" fontId="0" fillId="0" borderId="100" xfId="0" applyNumberFormat="1" applyFont="1" applyFill="1" applyBorder="1" applyAlignment="1" applyProtection="1">
      <alignment horizontal="right" vertical="center"/>
    </xf>
    <xf numFmtId="176" fontId="0" fillId="0" borderId="105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10" fillId="47" borderId="106" xfId="0" applyFont="1" applyFill="1" applyBorder="1" applyAlignment="1" applyProtection="1">
      <alignment horizontal="center" vertical="center"/>
    </xf>
    <xf numFmtId="0" fontId="10" fillId="47" borderId="105" xfId="0" applyFont="1" applyFill="1" applyBorder="1" applyAlignment="1" applyProtection="1">
      <alignment horizontal="center" vertical="center"/>
    </xf>
    <xf numFmtId="168" fontId="30" fillId="0" borderId="82" xfId="16" applyFont="1" applyFill="1" applyBorder="1" applyAlignment="1" applyProtection="1">
      <alignment horizontal="center" vertical="center"/>
    </xf>
    <xf numFmtId="168" fontId="30" fillId="0" borderId="85" xfId="16" applyFont="1" applyFill="1" applyBorder="1" applyAlignment="1" applyProtection="1">
      <alignment horizontal="center" vertical="center"/>
    </xf>
    <xf numFmtId="176" fontId="0" fillId="27" borderId="84" xfId="0" applyNumberFormat="1" applyFont="1" applyFill="1" applyBorder="1" applyAlignment="1" applyProtection="1">
      <alignment horizontal="right" vertical="center"/>
    </xf>
    <xf numFmtId="176" fontId="0" fillId="27" borderId="122" xfId="0" applyNumberFormat="1" applyFont="1" applyFill="1" applyBorder="1" applyAlignment="1" applyProtection="1">
      <alignment horizontal="right" vertical="center"/>
    </xf>
    <xf numFmtId="0" fontId="0" fillId="11" borderId="124" xfId="0" applyFont="1" applyFill="1" applyBorder="1" applyProtection="1"/>
    <xf numFmtId="0" fontId="0" fillId="11" borderId="125" xfId="0" applyFont="1" applyFill="1" applyBorder="1" applyProtection="1"/>
    <xf numFmtId="0" fontId="0" fillId="11" borderId="126" xfId="0" applyFont="1" applyFill="1" applyBorder="1" applyProtection="1"/>
    <xf numFmtId="0" fontId="0" fillId="11" borderId="114" xfId="0" applyFont="1" applyFill="1" applyBorder="1" applyProtection="1"/>
    <xf numFmtId="0" fontId="0" fillId="11" borderId="60" xfId="0" applyFont="1" applyFill="1" applyBorder="1" applyProtection="1"/>
    <xf numFmtId="0" fontId="25" fillId="0" borderId="114" xfId="0" applyFont="1" applyBorder="1" applyAlignment="1" applyProtection="1">
      <alignment vertical="center"/>
    </xf>
    <xf numFmtId="0" fontId="10" fillId="14" borderId="107" xfId="0" applyFont="1" applyFill="1" applyBorder="1" applyAlignment="1" applyProtection="1">
      <alignment horizontal="center" vertical="center"/>
    </xf>
    <xf numFmtId="0" fontId="10" fillId="14" borderId="123" xfId="0" applyFont="1" applyFill="1" applyBorder="1" applyAlignment="1" applyProtection="1">
      <alignment horizontal="center" vertical="center"/>
    </xf>
    <xf numFmtId="0" fontId="10" fillId="47" borderId="107" xfId="0" applyFont="1" applyFill="1" applyBorder="1" applyAlignment="1" applyProtection="1">
      <alignment horizontal="center" vertical="center"/>
    </xf>
    <xf numFmtId="0" fontId="10" fillId="47" borderId="123" xfId="0" applyFont="1" applyFill="1" applyBorder="1" applyAlignment="1" applyProtection="1">
      <alignment horizontal="center" vertical="center"/>
    </xf>
    <xf numFmtId="0" fontId="10" fillId="46" borderId="107" xfId="0" applyFont="1" applyFill="1" applyBorder="1" applyAlignment="1" applyProtection="1">
      <alignment horizontal="center" vertical="center"/>
    </xf>
    <xf numFmtId="0" fontId="10" fillId="46" borderId="123" xfId="0" applyFont="1" applyFill="1" applyBorder="1" applyAlignment="1" applyProtection="1">
      <alignment horizontal="center" vertical="center"/>
    </xf>
    <xf numFmtId="176" fontId="0" fillId="26" borderId="99" xfId="0" applyNumberFormat="1" applyFont="1" applyFill="1" applyBorder="1" applyAlignment="1" applyProtection="1">
      <alignment horizontal="right" vertical="center"/>
    </xf>
    <xf numFmtId="176" fontId="0" fillId="26" borderId="100" xfId="0" applyNumberFormat="1" applyFont="1" applyFill="1" applyBorder="1" applyAlignment="1" applyProtection="1">
      <alignment horizontal="right" vertical="center"/>
    </xf>
    <xf numFmtId="0" fontId="0" fillId="11" borderId="115" xfId="0" applyFont="1" applyFill="1" applyBorder="1" applyProtection="1"/>
    <xf numFmtId="0" fontId="0" fillId="11" borderId="121" xfId="0" applyFont="1" applyFill="1" applyBorder="1" applyProtection="1"/>
    <xf numFmtId="0" fontId="0" fillId="11" borderId="56" xfId="0" applyFont="1" applyFill="1" applyBorder="1" applyProtection="1"/>
    <xf numFmtId="167" fontId="11" fillId="20" borderId="65" xfId="13" applyNumberFormat="1" applyFont="1" applyFill="1" applyBorder="1" applyAlignment="1" applyProtection="1">
      <alignment horizontal="center" vertical="center"/>
      <protection locked="0"/>
    </xf>
    <xf numFmtId="9" fontId="0" fillId="43" borderId="78" xfId="0" applyNumberFormat="1" applyFont="1" applyFill="1" applyBorder="1" applyAlignment="1" applyProtection="1">
      <alignment horizontal="center" vertical="center"/>
    </xf>
    <xf numFmtId="9" fontId="0" fillId="43" borderId="99" xfId="0" applyNumberFormat="1" applyFont="1" applyFill="1" applyBorder="1" applyAlignment="1" applyProtection="1">
      <alignment horizontal="center" vertical="center"/>
    </xf>
    <xf numFmtId="168" fontId="0" fillId="43" borderId="99" xfId="16" applyFont="1" applyFill="1" applyBorder="1" applyAlignment="1" applyProtection="1">
      <alignment horizontal="center" vertical="center"/>
    </xf>
    <xf numFmtId="0" fontId="13" fillId="16" borderId="123" xfId="0" applyFont="1" applyFill="1" applyBorder="1" applyAlignment="1" applyProtection="1">
      <alignment horizontal="center" vertical="center" wrapText="1"/>
    </xf>
    <xf numFmtId="176" fontId="22" fillId="28" borderId="113" xfId="0" applyNumberFormat="1" applyFont="1" applyFill="1" applyBorder="1" applyAlignment="1" applyProtection="1">
      <alignment horizontal="center" vertical="center"/>
    </xf>
    <xf numFmtId="176" fontId="23" fillId="28" borderId="48" xfId="0" applyNumberFormat="1" applyFont="1" applyFill="1" applyBorder="1" applyAlignment="1" applyProtection="1">
      <alignment vertical="center"/>
    </xf>
    <xf numFmtId="167" fontId="0" fillId="12" borderId="100" xfId="13" applyNumberFormat="1" applyFont="1" applyFill="1" applyBorder="1" applyAlignment="1" applyProtection="1">
      <alignment vertical="center"/>
      <protection locked="0"/>
    </xf>
    <xf numFmtId="167" fontId="0" fillId="12" borderId="103" xfId="13" applyNumberFormat="1" applyFont="1" applyFill="1" applyBorder="1" applyAlignment="1" applyProtection="1">
      <alignment vertical="center"/>
      <protection locked="0"/>
    </xf>
    <xf numFmtId="167" fontId="0" fillId="12" borderId="105" xfId="13" applyNumberFormat="1" applyFont="1" applyFill="1" applyBorder="1" applyAlignment="1" applyProtection="1">
      <alignment vertical="center"/>
      <protection locked="0"/>
    </xf>
    <xf numFmtId="179" fontId="14" fillId="36" borderId="106" xfId="16" applyNumberFormat="1" applyFill="1" applyBorder="1" applyAlignment="1" applyProtection="1">
      <alignment horizontal="center" vertical="center"/>
    </xf>
    <xf numFmtId="179" fontId="14" fillId="36" borderId="104" xfId="16" applyNumberFormat="1" applyFill="1" applyBorder="1" applyAlignment="1" applyProtection="1">
      <alignment horizontal="center" vertical="center"/>
    </xf>
    <xf numFmtId="179" fontId="14" fillId="36" borderId="105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13" fillId="17" borderId="101" xfId="0" applyFont="1" applyFill="1" applyBorder="1" applyAlignment="1" applyProtection="1">
      <alignment horizontal="center" vertical="center" wrapText="1"/>
    </xf>
    <xf numFmtId="173" fontId="13" fillId="17" borderId="101" xfId="12" applyNumberFormat="1" applyFont="1" applyFill="1" applyBorder="1" applyAlignment="1" applyProtection="1">
      <alignment horizontal="center" vertical="center" wrapText="1"/>
    </xf>
    <xf numFmtId="0" fontId="11" fillId="17" borderId="101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67" fontId="0" fillId="0" borderId="0" xfId="0" applyNumberFormat="1" applyFont="1" applyAlignment="1" applyProtection="1">
      <alignment vertical="center"/>
    </xf>
    <xf numFmtId="167" fontId="13" fillId="0" borderId="0" xfId="0" applyNumberFormat="1" applyFont="1" applyAlignment="1" applyProtection="1">
      <alignment vertical="center"/>
    </xf>
    <xf numFmtId="178" fontId="0" fillId="12" borderId="142" xfId="13" applyNumberFormat="1" applyFont="1" applyFill="1" applyBorder="1" applyAlignment="1" applyProtection="1">
      <alignment horizontal="center" vertical="center"/>
      <protection locked="0"/>
    </xf>
    <xf numFmtId="167" fontId="0" fillId="0" borderId="150" xfId="0" applyNumberFormat="1" applyFont="1" applyFill="1" applyBorder="1" applyAlignment="1" applyProtection="1">
      <alignment vertical="center"/>
    </xf>
    <xf numFmtId="167" fontId="13" fillId="34" borderId="151" xfId="0" applyNumberFormat="1" applyFont="1" applyFill="1" applyBorder="1" applyAlignment="1" applyProtection="1">
      <alignment horizontal="center" vertical="center" wrapText="1"/>
    </xf>
    <xf numFmtId="167" fontId="13" fillId="34" borderId="152" xfId="0" applyNumberFormat="1" applyFont="1" applyFill="1" applyBorder="1" applyAlignment="1" applyProtection="1">
      <alignment horizontal="center" vertical="center" wrapText="1"/>
    </xf>
    <xf numFmtId="167" fontId="13" fillId="34" borderId="153" xfId="0" applyNumberFormat="1" applyFont="1" applyFill="1" applyBorder="1" applyAlignment="1" applyProtection="1">
      <alignment horizontal="center" vertical="center" wrapText="1"/>
    </xf>
    <xf numFmtId="167" fontId="0" fillId="10" borderId="101" xfId="13" applyNumberFormat="1" applyFont="1" applyFill="1" applyBorder="1" applyAlignment="1" applyProtection="1">
      <alignment horizontal="right" vertical="center"/>
    </xf>
    <xf numFmtId="172" fontId="0" fillId="0" borderId="101" xfId="12" applyNumberFormat="1" applyFont="1" applyFill="1" applyBorder="1" applyAlignment="1" applyProtection="1">
      <alignment vertical="center"/>
    </xf>
    <xf numFmtId="167" fontId="14" fillId="0" borderId="99" xfId="13" applyNumberFormat="1" applyFont="1" applyFill="1" applyBorder="1" applyAlignment="1" applyProtection="1">
      <alignment vertical="center"/>
    </xf>
    <xf numFmtId="167" fontId="0" fillId="10" borderId="99" xfId="13" applyNumberFormat="1" applyFont="1" applyFill="1" applyBorder="1" applyAlignment="1" applyProtection="1">
      <alignment horizontal="right" vertical="center"/>
    </xf>
    <xf numFmtId="167" fontId="13" fillId="39" borderId="156" xfId="0" applyNumberFormat="1" applyFont="1" applyFill="1" applyBorder="1" applyAlignment="1" applyProtection="1">
      <alignment vertical="center"/>
    </xf>
    <xf numFmtId="167" fontId="13" fillId="39" borderId="104" xfId="13" applyNumberFormat="1" applyFont="1" applyFill="1" applyBorder="1" applyAlignment="1" applyProtection="1">
      <alignment vertical="center"/>
    </xf>
    <xf numFmtId="167" fontId="13" fillId="39" borderId="104" xfId="13" applyNumberFormat="1" applyFont="1" applyFill="1" applyBorder="1" applyAlignment="1" applyProtection="1">
      <alignment horizontal="right" vertical="center"/>
    </xf>
    <xf numFmtId="167" fontId="14" fillId="0" borderId="50" xfId="13" applyNumberFormat="1" applyFont="1" applyFill="1" applyBorder="1" applyAlignment="1" applyProtection="1">
      <alignment vertical="center"/>
    </xf>
    <xf numFmtId="167" fontId="14" fillId="0" borderId="100" xfId="13" applyNumberFormat="1" applyFont="1" applyFill="1" applyBorder="1" applyAlignment="1" applyProtection="1">
      <alignment vertical="center"/>
    </xf>
    <xf numFmtId="172" fontId="0" fillId="0" borderId="102" xfId="12" applyNumberFormat="1" applyFont="1" applyFill="1" applyBorder="1" applyAlignment="1" applyProtection="1">
      <alignment vertical="center"/>
    </xf>
    <xf numFmtId="172" fontId="0" fillId="0" borderId="103" xfId="12" applyNumberFormat="1" applyFont="1" applyFill="1" applyBorder="1" applyAlignment="1" applyProtection="1">
      <alignment vertical="center"/>
    </xf>
    <xf numFmtId="167" fontId="13" fillId="39" borderId="106" xfId="13" applyNumberFormat="1" applyFont="1" applyFill="1" applyBorder="1" applyAlignment="1" applyProtection="1">
      <alignment vertical="center"/>
    </xf>
    <xf numFmtId="167" fontId="13" fillId="39" borderId="105" xfId="13" applyNumberFormat="1" applyFont="1" applyFill="1" applyBorder="1" applyAlignment="1" applyProtection="1">
      <alignment vertical="center"/>
    </xf>
    <xf numFmtId="167" fontId="0" fillId="10" borderId="138" xfId="13" applyNumberFormat="1" applyFont="1" applyFill="1" applyBorder="1" applyAlignment="1" applyProtection="1">
      <alignment horizontal="right" vertical="center"/>
    </xf>
    <xf numFmtId="167" fontId="0" fillId="10" borderId="119" xfId="13" applyNumberFormat="1" applyFont="1" applyFill="1" applyBorder="1" applyAlignment="1" applyProtection="1">
      <alignment horizontal="right" vertical="center"/>
    </xf>
    <xf numFmtId="167" fontId="13" fillId="39" borderId="118" xfId="13" applyNumberFormat="1" applyFont="1" applyFill="1" applyBorder="1" applyAlignment="1" applyProtection="1">
      <alignment horizontal="right" vertical="center"/>
    </xf>
    <xf numFmtId="167" fontId="14" fillId="43" borderId="54" xfId="13" applyNumberFormat="1" applyFont="1" applyFill="1" applyBorder="1" applyAlignment="1" applyProtection="1">
      <alignment vertical="center"/>
    </xf>
    <xf numFmtId="172" fontId="0" fillId="12" borderId="111" xfId="12" applyNumberFormat="1" applyFont="1" applyFill="1" applyBorder="1" applyAlignment="1" applyProtection="1">
      <alignment vertical="center"/>
      <protection locked="0"/>
    </xf>
    <xf numFmtId="167" fontId="13" fillId="39" borderId="97" xfId="13" applyNumberFormat="1" applyFont="1" applyFill="1" applyBorder="1" applyAlignment="1" applyProtection="1">
      <alignment vertical="center"/>
    </xf>
    <xf numFmtId="167" fontId="13" fillId="39" borderId="131" xfId="13" applyNumberFormat="1" applyFont="1" applyFill="1" applyBorder="1" applyAlignment="1" applyProtection="1">
      <alignment horizontal="right" vertical="center"/>
    </xf>
    <xf numFmtId="0" fontId="13" fillId="15" borderId="137" xfId="0" applyFont="1" applyFill="1" applyBorder="1" applyAlignment="1" applyProtection="1">
      <alignment horizontal="center" vertical="center" wrapText="1"/>
    </xf>
    <xf numFmtId="167" fontId="18" fillId="35" borderId="89" xfId="0" applyNumberFormat="1" applyFont="1" applyFill="1" applyBorder="1" applyAlignment="1" applyProtection="1">
      <alignment horizontal="center" vertical="center" wrapText="1"/>
    </xf>
    <xf numFmtId="167" fontId="18" fillId="35" borderId="166" xfId="0" applyNumberFormat="1" applyFont="1" applyFill="1" applyBorder="1" applyAlignment="1" applyProtection="1">
      <alignment horizontal="center" vertical="center" wrapText="1"/>
    </xf>
    <xf numFmtId="0" fontId="18" fillId="35" borderId="88" xfId="0" applyFont="1" applyFill="1" applyBorder="1" applyAlignment="1" applyProtection="1">
      <alignment horizontal="center" vertical="center" wrapText="1"/>
    </xf>
    <xf numFmtId="0" fontId="18" fillId="25" borderId="167" xfId="0" applyFont="1" applyFill="1" applyBorder="1" applyAlignment="1" applyProtection="1">
      <alignment horizontal="center" vertical="center" wrapText="1"/>
    </xf>
    <xf numFmtId="0" fontId="18" fillId="25" borderId="164" xfId="0" applyFont="1" applyFill="1" applyBorder="1" applyAlignment="1" applyProtection="1">
      <alignment horizontal="center" vertical="center" wrapText="1"/>
    </xf>
    <xf numFmtId="0" fontId="18" fillId="25" borderId="89" xfId="0" applyFont="1" applyFill="1" applyBorder="1" applyAlignment="1" applyProtection="1">
      <alignment horizontal="center" vertical="center" wrapText="1"/>
    </xf>
    <xf numFmtId="0" fontId="13" fillId="15" borderId="92" xfId="0" applyFont="1" applyFill="1" applyBorder="1" applyAlignment="1" applyProtection="1">
      <alignment horizontal="center" vertical="center" wrapText="1"/>
    </xf>
    <xf numFmtId="0" fontId="13" fillId="0" borderId="168" xfId="0" applyFont="1" applyFill="1" applyBorder="1" applyAlignment="1" applyProtection="1">
      <alignment horizontal="left" vertical="center"/>
    </xf>
    <xf numFmtId="167" fontId="0" fillId="29" borderId="144" xfId="13" applyNumberFormat="1" applyFont="1" applyFill="1" applyBorder="1" applyAlignment="1" applyProtection="1">
      <alignment vertical="center"/>
    </xf>
    <xf numFmtId="167" fontId="0" fillId="29" borderId="150" xfId="13" applyNumberFormat="1" applyFont="1" applyFill="1" applyBorder="1" applyAlignment="1" applyProtection="1">
      <alignment vertical="center"/>
    </xf>
    <xf numFmtId="167" fontId="13" fillId="29" borderId="169" xfId="13" applyNumberFormat="1" applyFont="1" applyFill="1" applyBorder="1" applyAlignment="1" applyProtection="1">
      <alignment vertical="center"/>
    </xf>
    <xf numFmtId="167" fontId="0" fillId="19" borderId="170" xfId="13" applyNumberFormat="1" applyFont="1" applyFill="1" applyBorder="1" applyAlignment="1" applyProtection="1">
      <alignment vertical="center"/>
    </xf>
    <xf numFmtId="167" fontId="0" fillId="19" borderId="171" xfId="13" applyNumberFormat="1" applyFont="1" applyFill="1" applyBorder="1" applyAlignment="1" applyProtection="1">
      <alignment vertical="center"/>
    </xf>
    <xf numFmtId="167" fontId="13" fillId="19" borderId="144" xfId="13" applyNumberFormat="1" applyFont="1" applyFill="1" applyBorder="1" applyAlignment="1" applyProtection="1">
      <alignment vertical="center"/>
    </xf>
    <xf numFmtId="167" fontId="13" fillId="0" borderId="172" xfId="13" applyNumberFormat="1" applyFont="1" applyFill="1" applyBorder="1" applyAlignment="1" applyProtection="1">
      <alignment vertical="center"/>
    </xf>
    <xf numFmtId="0" fontId="13" fillId="15" borderId="173" xfId="0" applyFont="1" applyFill="1" applyBorder="1" applyAlignment="1" applyProtection="1">
      <alignment horizontal="center" vertical="center"/>
    </xf>
    <xf numFmtId="167" fontId="22" fillId="15" borderId="174" xfId="13" applyNumberFormat="1" applyFont="1" applyFill="1" applyBorder="1" applyAlignment="1" applyProtection="1">
      <alignment vertical="center"/>
    </xf>
    <xf numFmtId="167" fontId="13" fillId="39" borderId="145" xfId="13" applyNumberFormat="1" applyFont="1" applyFill="1" applyBorder="1" applyAlignment="1" applyProtection="1">
      <alignment horizontal="right" vertical="center"/>
    </xf>
    <xf numFmtId="167" fontId="13" fillId="39" borderId="175" xfId="13" applyNumberFormat="1" applyFont="1" applyFill="1" applyBorder="1" applyAlignment="1" applyProtection="1">
      <alignment horizontal="right" vertical="center"/>
    </xf>
    <xf numFmtId="167" fontId="13" fillId="39" borderId="176" xfId="13" applyNumberFormat="1" applyFont="1" applyFill="1" applyBorder="1" applyAlignment="1" applyProtection="1">
      <alignment vertical="center"/>
    </xf>
    <xf numFmtId="167" fontId="13" fillId="39" borderId="112" xfId="13" applyNumberFormat="1" applyFont="1" applyFill="1" applyBorder="1" applyAlignment="1" applyProtection="1">
      <alignment horizontal="right" vertical="center"/>
    </xf>
    <xf numFmtId="169" fontId="0" fillId="45" borderId="104" xfId="13" applyNumberFormat="1" applyFont="1" applyFill="1" applyBorder="1" applyAlignment="1" applyProtection="1">
      <alignment horizontal="center" vertical="center"/>
    </xf>
    <xf numFmtId="166" fontId="0" fillId="0" borderId="108" xfId="13" applyNumberFormat="1" applyFont="1" applyFill="1" applyBorder="1" applyAlignment="1" applyProtection="1">
      <alignment vertical="center"/>
    </xf>
    <xf numFmtId="166" fontId="0" fillId="0" borderId="183" xfId="13" applyNumberFormat="1" applyFont="1" applyFill="1" applyBorder="1" applyAlignment="1" applyProtection="1">
      <alignment vertical="center"/>
    </xf>
    <xf numFmtId="166" fontId="0" fillId="0" borderId="109" xfId="13" applyNumberFormat="1" applyFont="1" applyFill="1" applyBorder="1" applyAlignment="1" applyProtection="1">
      <alignment vertical="center"/>
    </xf>
    <xf numFmtId="167" fontId="0" fillId="29" borderId="101" xfId="13" applyNumberFormat="1" applyFont="1" applyFill="1" applyBorder="1" applyAlignment="1" applyProtection="1">
      <alignment vertical="center"/>
    </xf>
    <xf numFmtId="167" fontId="0" fillId="29" borderId="50" xfId="13" applyNumberFormat="1" applyFont="1" applyFill="1" applyBorder="1" applyAlignment="1" applyProtection="1">
      <alignment vertical="center"/>
    </xf>
    <xf numFmtId="167" fontId="0" fillId="29" borderId="99" xfId="13" applyNumberFormat="1" applyFont="1" applyFill="1" applyBorder="1" applyAlignment="1" applyProtection="1">
      <alignment vertical="center"/>
    </xf>
    <xf numFmtId="167" fontId="0" fillId="29" borderId="100" xfId="13" applyNumberFormat="1" applyFont="1" applyFill="1" applyBorder="1" applyAlignment="1" applyProtection="1">
      <alignment vertical="center"/>
    </xf>
    <xf numFmtId="167" fontId="0" fillId="29" borderId="102" xfId="13" applyNumberFormat="1" applyFont="1" applyFill="1" applyBorder="1" applyAlignment="1" applyProtection="1">
      <alignment vertical="center"/>
    </xf>
    <xf numFmtId="167" fontId="0" fillId="29" borderId="103" xfId="13" applyNumberFormat="1" applyFont="1" applyFill="1" applyBorder="1" applyAlignment="1" applyProtection="1">
      <alignment vertical="center"/>
    </xf>
    <xf numFmtId="167" fontId="0" fillId="29" borderId="106" xfId="13" applyNumberFormat="1" applyFont="1" applyFill="1" applyBorder="1" applyAlignment="1" applyProtection="1">
      <alignment vertical="center"/>
    </xf>
    <xf numFmtId="167" fontId="0" fillId="29" borderId="104" xfId="13" applyNumberFormat="1" applyFont="1" applyFill="1" applyBorder="1" applyAlignment="1" applyProtection="1">
      <alignment vertical="center"/>
    </xf>
    <xf numFmtId="167" fontId="0" fillId="29" borderId="105" xfId="13" applyNumberFormat="1" applyFont="1" applyFill="1" applyBorder="1" applyAlignment="1" applyProtection="1">
      <alignment vertical="center"/>
    </xf>
    <xf numFmtId="167" fontId="0" fillId="36" borderId="106" xfId="13" applyNumberFormat="1" applyFont="1" applyFill="1" applyBorder="1" applyAlignment="1" applyProtection="1">
      <alignment vertical="center"/>
    </xf>
    <xf numFmtId="167" fontId="0" fillId="36" borderId="104" xfId="13" applyNumberFormat="1" applyFont="1" applyFill="1" applyBorder="1" applyAlignment="1" applyProtection="1">
      <alignment vertical="center"/>
    </xf>
    <xf numFmtId="167" fontId="0" fillId="36" borderId="97" xfId="13" applyNumberFormat="1" applyFont="1" applyFill="1" applyBorder="1" applyAlignment="1" applyProtection="1">
      <alignment vertical="center"/>
    </xf>
    <xf numFmtId="167" fontId="0" fillId="0" borderId="106" xfId="13" applyNumberFormat="1" applyFont="1" applyFill="1" applyBorder="1" applyAlignment="1" applyProtection="1">
      <alignment vertical="center"/>
    </xf>
    <xf numFmtId="167" fontId="0" fillId="0" borderId="104" xfId="13" applyNumberFormat="1" applyFont="1" applyFill="1" applyBorder="1" applyAlignment="1" applyProtection="1">
      <alignment vertical="center"/>
    </xf>
    <xf numFmtId="169" fontId="0" fillId="0" borderId="104" xfId="0" applyNumberFormat="1" applyFont="1" applyFill="1" applyBorder="1" applyAlignment="1" applyProtection="1">
      <alignment horizontal="center" vertical="center"/>
    </xf>
    <xf numFmtId="169" fontId="0" fillId="0" borderId="105" xfId="0" applyNumberFormat="1" applyFont="1" applyFill="1" applyBorder="1" applyAlignment="1" applyProtection="1">
      <alignment horizontal="center" vertical="center"/>
    </xf>
    <xf numFmtId="167" fontId="13" fillId="34" borderId="184" xfId="0" applyNumberFormat="1" applyFont="1" applyFill="1" applyBorder="1" applyAlignment="1" applyProtection="1">
      <alignment horizontal="center" vertical="center" wrapText="1"/>
    </xf>
    <xf numFmtId="167" fontId="13" fillId="34" borderId="185" xfId="0" applyNumberFormat="1" applyFont="1" applyFill="1" applyBorder="1" applyAlignment="1" applyProtection="1">
      <alignment horizontal="center" vertical="center" wrapText="1"/>
    </xf>
    <xf numFmtId="167" fontId="13" fillId="34" borderId="186" xfId="0" applyNumberFormat="1" applyFont="1" applyFill="1" applyBorder="1" applyAlignment="1" applyProtection="1">
      <alignment horizontal="center" vertical="center" wrapText="1"/>
    </xf>
    <xf numFmtId="167" fontId="13" fillId="15" borderId="187" xfId="0" applyNumberFormat="1" applyFont="1" applyFill="1" applyBorder="1" applyAlignment="1" applyProtection="1">
      <alignment horizontal="center" vertical="center" wrapText="1"/>
    </xf>
    <xf numFmtId="167" fontId="13" fillId="15" borderId="185" xfId="0" applyNumberFormat="1" applyFont="1" applyFill="1" applyBorder="1" applyAlignment="1" applyProtection="1">
      <alignment horizontal="center" vertical="center" wrapText="1"/>
    </xf>
    <xf numFmtId="167" fontId="13" fillId="15" borderId="188" xfId="0" applyNumberFormat="1" applyFont="1" applyFill="1" applyBorder="1" applyAlignment="1" applyProtection="1">
      <alignment horizontal="center" vertical="center" wrapText="1"/>
    </xf>
    <xf numFmtId="0" fontId="13" fillId="15" borderId="184" xfId="0" applyFont="1" applyFill="1" applyBorder="1" applyAlignment="1" applyProtection="1">
      <alignment horizontal="center" vertical="center"/>
    </xf>
    <xf numFmtId="0" fontId="13" fillId="15" borderId="189" xfId="0" applyFont="1" applyFill="1" applyBorder="1" applyAlignment="1" applyProtection="1">
      <alignment horizontal="center" vertical="center"/>
    </xf>
    <xf numFmtId="166" fontId="0" fillId="0" borderId="190" xfId="13" applyNumberFormat="1" applyFont="1" applyFill="1" applyBorder="1" applyAlignment="1" applyProtection="1">
      <alignment vertical="center"/>
    </xf>
    <xf numFmtId="166" fontId="0" fillId="0" borderId="191" xfId="13" applyNumberFormat="1" applyFont="1" applyFill="1" applyBorder="1" applyAlignment="1" applyProtection="1">
      <alignment vertical="center"/>
    </xf>
    <xf numFmtId="166" fontId="0" fillId="0" borderId="192" xfId="13" applyNumberFormat="1" applyFont="1" applyFill="1" applyBorder="1" applyAlignment="1" applyProtection="1">
      <alignment vertical="center"/>
    </xf>
    <xf numFmtId="179" fontId="14" fillId="36" borderId="50" xfId="16" applyNumberFormat="1" applyFill="1" applyBorder="1" applyAlignment="1" applyProtection="1">
      <alignment horizontal="center" vertical="center"/>
    </xf>
    <xf numFmtId="179" fontId="14" fillId="36" borderId="103" xfId="16" applyNumberFormat="1" applyFill="1" applyBorder="1" applyAlignment="1" applyProtection="1">
      <alignment horizontal="center" vertical="center"/>
    </xf>
    <xf numFmtId="167" fontId="0" fillId="29" borderId="129" xfId="13" applyNumberFormat="1" applyFont="1" applyFill="1" applyBorder="1" applyAlignment="1" applyProtection="1">
      <alignment vertical="center"/>
    </xf>
    <xf numFmtId="167" fontId="0" fillId="29" borderId="130" xfId="13" applyNumberFormat="1" applyFont="1" applyFill="1" applyBorder="1" applyAlignment="1" applyProtection="1">
      <alignment vertical="center"/>
    </xf>
    <xf numFmtId="167" fontId="0" fillId="29" borderId="131" xfId="13" applyNumberFormat="1" applyFont="1" applyFill="1" applyBorder="1" applyAlignment="1" applyProtection="1">
      <alignment vertical="center"/>
    </xf>
    <xf numFmtId="167" fontId="14" fillId="0" borderId="54" xfId="13" applyNumberFormat="1" applyFont="1" applyFill="1" applyBorder="1" applyAlignment="1" applyProtection="1">
      <alignment vertical="center"/>
    </xf>
    <xf numFmtId="167" fontId="13" fillId="39" borderId="107" xfId="13" applyNumberFormat="1" applyFont="1" applyFill="1" applyBorder="1" applyAlignment="1" applyProtection="1">
      <alignment vertical="center"/>
    </xf>
    <xf numFmtId="167" fontId="13" fillId="39" borderId="175" xfId="13" applyNumberFormat="1" applyFont="1" applyFill="1" applyBorder="1" applyAlignment="1" applyProtection="1">
      <alignment vertical="center"/>
    </xf>
    <xf numFmtId="167" fontId="13" fillId="39" borderId="123" xfId="13" applyNumberFormat="1" applyFont="1" applyFill="1" applyBorder="1" applyAlignment="1" applyProtection="1">
      <alignment vertical="center"/>
    </xf>
    <xf numFmtId="172" fontId="0" fillId="0" borderId="111" xfId="12" applyNumberFormat="1" applyFont="1" applyFill="1" applyBorder="1" applyAlignment="1" applyProtection="1">
      <alignment vertical="center"/>
    </xf>
    <xf numFmtId="167" fontId="0" fillId="0" borderId="81" xfId="13" applyNumberFormat="1" applyFont="1" applyFill="1" applyBorder="1" applyAlignment="1" applyProtection="1">
      <alignment vertical="center"/>
    </xf>
    <xf numFmtId="167" fontId="0" fillId="0" borderId="155" xfId="13" applyNumberFormat="1" applyFont="1" applyFill="1" applyBorder="1" applyAlignment="1" applyProtection="1">
      <alignment vertical="center"/>
    </xf>
    <xf numFmtId="167" fontId="0" fillId="0" borderId="134" xfId="13" applyNumberFormat="1" applyFont="1" applyFill="1" applyBorder="1" applyAlignment="1" applyProtection="1">
      <alignment vertical="center"/>
    </xf>
    <xf numFmtId="167" fontId="22" fillId="31" borderId="179" xfId="13" applyNumberFormat="1" applyFont="1" applyFill="1" applyBorder="1" applyAlignment="1" applyProtection="1">
      <alignment vertical="center" wrapText="1"/>
    </xf>
    <xf numFmtId="167" fontId="22" fillId="31" borderId="127" xfId="13" applyNumberFormat="1" applyFont="1" applyFill="1" applyBorder="1" applyAlignment="1" applyProtection="1">
      <alignment vertical="center" wrapText="1"/>
    </xf>
    <xf numFmtId="9" fontId="0" fillId="12" borderId="107" xfId="0" applyNumberFormat="1" applyFont="1" applyFill="1" applyBorder="1" applyAlignment="1" applyProtection="1">
      <alignment horizontal="center" vertical="center"/>
      <protection locked="0"/>
    </xf>
    <xf numFmtId="176" fontId="0" fillId="0" borderId="176" xfId="0" applyNumberFormat="1" applyFont="1" applyFill="1" applyBorder="1" applyAlignment="1" applyProtection="1">
      <alignment horizontal="right" vertical="center"/>
    </xf>
    <xf numFmtId="176" fontId="0" fillId="0" borderId="123" xfId="0" applyNumberFormat="1" applyFont="1" applyFill="1" applyBorder="1" applyAlignment="1" applyProtection="1">
      <alignment horizontal="right" vertical="center"/>
    </xf>
    <xf numFmtId="168" fontId="0" fillId="12" borderId="195" xfId="16" applyFont="1" applyFill="1" applyBorder="1" applyAlignment="1" applyProtection="1">
      <alignment horizontal="center" vertical="center"/>
      <protection locked="0"/>
    </xf>
    <xf numFmtId="168" fontId="15" fillId="19" borderId="52" xfId="16" applyFont="1" applyFill="1" applyBorder="1" applyAlignment="1" applyProtection="1">
      <alignment horizontal="center" vertical="center"/>
    </xf>
    <xf numFmtId="176" fontId="23" fillId="26" borderId="53" xfId="0" applyNumberFormat="1" applyFont="1" applyFill="1" applyBorder="1" applyAlignment="1" applyProtection="1">
      <alignment horizontal="right" vertical="center"/>
    </xf>
    <xf numFmtId="0" fontId="18" fillId="33" borderId="28" xfId="0" applyFont="1" applyFill="1" applyBorder="1" applyAlignment="1" applyProtection="1">
      <alignment horizontal="center" vertical="center" wrapText="1"/>
    </xf>
    <xf numFmtId="0" fontId="18" fillId="48" borderId="29" xfId="0" applyFont="1" applyFill="1" applyBorder="1" applyAlignment="1" applyProtection="1">
      <alignment vertical="center"/>
    </xf>
    <xf numFmtId="166" fontId="18" fillId="48" borderId="101" xfId="13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3" fillId="20" borderId="139" xfId="0" applyFont="1" applyFill="1" applyBorder="1" applyAlignment="1">
      <alignment horizontal="center" vertical="center" wrapText="1"/>
    </xf>
    <xf numFmtId="167" fontId="11" fillId="20" borderId="139" xfId="13" applyNumberFormat="1" applyFont="1" applyFill="1" applyBorder="1" applyAlignment="1">
      <alignment horizontal="center" vertical="center"/>
    </xf>
    <xf numFmtId="1" fontId="0" fillId="0" borderId="139" xfId="0" applyNumberFormat="1" applyBorder="1" applyAlignment="1">
      <alignment horizontal="center" vertical="center" wrapText="1"/>
    </xf>
    <xf numFmtId="174" fontId="19" fillId="0" borderId="150" xfId="0" applyNumberFormat="1" applyFont="1" applyBorder="1" applyAlignment="1">
      <alignment horizontal="left"/>
    </xf>
    <xf numFmtId="1" fontId="0" fillId="0" borderId="141" xfId="0" applyNumberFormat="1" applyBorder="1"/>
    <xf numFmtId="167" fontId="11" fillId="23" borderId="139" xfId="13" applyNumberFormat="1" applyFont="1" applyFill="1" applyBorder="1" applyAlignment="1">
      <alignment horizontal="center" vertical="center"/>
    </xf>
    <xf numFmtId="1" fontId="0" fillId="43" borderId="139" xfId="0" applyNumberFormat="1" applyFill="1" applyBorder="1" applyAlignment="1">
      <alignment horizontal="center" vertical="center" wrapText="1"/>
    </xf>
    <xf numFmtId="167" fontId="13" fillId="43" borderId="101" xfId="13" applyNumberFormat="1" applyFont="1" applyFill="1" applyBorder="1" applyAlignment="1">
      <alignment horizontal="center" vertical="center"/>
    </xf>
    <xf numFmtId="167" fontId="0" fillId="28" borderId="101" xfId="13" applyNumberFormat="1" applyFont="1" applyFill="1" applyBorder="1" applyAlignment="1">
      <alignment vertical="center"/>
    </xf>
    <xf numFmtId="0" fontId="13" fillId="43" borderId="101" xfId="0" applyFont="1" applyFill="1" applyBorder="1" applyAlignment="1">
      <alignment horizontal="center" vertical="center"/>
    </xf>
    <xf numFmtId="180" fontId="14" fillId="28" borderId="101" xfId="13" applyNumberFormat="1" applyFill="1" applyBorder="1"/>
    <xf numFmtId="177" fontId="0" fillId="12" borderId="20" xfId="13" applyNumberFormat="1" applyFont="1" applyFill="1" applyBorder="1" applyAlignment="1" applyProtection="1">
      <alignment vertical="center"/>
      <protection locked="0"/>
    </xf>
    <xf numFmtId="0" fontId="0" fillId="12" borderId="204" xfId="0" applyFont="1" applyFill="1" applyBorder="1" applyAlignment="1" applyProtection="1">
      <alignment horizontal="left" vertical="center"/>
      <protection locked="0"/>
    </xf>
    <xf numFmtId="0" fontId="0" fillId="12" borderId="105" xfId="0" applyFont="1" applyFill="1" applyBorder="1" applyAlignment="1" applyProtection="1">
      <alignment horizontal="left" vertical="center"/>
      <protection locked="0"/>
    </xf>
    <xf numFmtId="0" fontId="13" fillId="0" borderId="205" xfId="0" applyFont="1" applyFill="1" applyBorder="1" applyAlignment="1" applyProtection="1">
      <alignment horizontal="left" vertical="center"/>
    </xf>
    <xf numFmtId="167" fontId="0" fillId="10" borderId="211" xfId="13" applyNumberFormat="1" applyFont="1" applyFill="1" applyBorder="1" applyAlignment="1" applyProtection="1">
      <alignment horizontal="right" vertical="center"/>
    </xf>
    <xf numFmtId="0" fontId="13" fillId="21" borderId="220" xfId="0" applyFont="1" applyFill="1" applyBorder="1" applyAlignment="1">
      <alignment horizontal="center" vertical="center"/>
    </xf>
    <xf numFmtId="167" fontId="0" fillId="10" borderId="212" xfId="13" applyNumberFormat="1" applyFont="1" applyFill="1" applyBorder="1" applyAlignment="1" applyProtection="1">
      <alignment horizontal="right" vertical="center"/>
    </xf>
    <xf numFmtId="167" fontId="13" fillId="39" borderId="105" xfId="13" applyNumberFormat="1" applyFont="1" applyFill="1" applyBorder="1" applyAlignment="1" applyProtection="1">
      <alignment horizontal="right" vertical="center"/>
    </xf>
    <xf numFmtId="167" fontId="0" fillId="10" borderId="203" xfId="13" applyNumberFormat="1" applyFont="1" applyFill="1" applyBorder="1" applyAlignment="1" applyProtection="1">
      <alignment horizontal="right" vertical="center"/>
    </xf>
    <xf numFmtId="167" fontId="0" fillId="10" borderId="210" xfId="13" applyNumberFormat="1" applyFont="1" applyFill="1" applyBorder="1" applyAlignment="1" applyProtection="1">
      <alignment horizontal="right" vertical="center"/>
    </xf>
    <xf numFmtId="1" fontId="0" fillId="0" borderId="221" xfId="0" applyNumberFormat="1" applyBorder="1" applyAlignment="1">
      <alignment horizontal="center"/>
    </xf>
    <xf numFmtId="42" fontId="0" fillId="45" borderId="203" xfId="31" applyFont="1" applyFill="1" applyBorder="1" applyAlignment="1" applyProtection="1">
      <alignment horizontal="center" vertical="center"/>
    </xf>
    <xf numFmtId="174" fontId="19" fillId="0" borderId="150" xfId="0" applyNumberFormat="1" applyFont="1" applyBorder="1" applyAlignment="1">
      <alignment horizontal="left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177" fontId="0" fillId="12" borderId="203" xfId="13" applyNumberFormat="1" applyFont="1" applyFill="1" applyBorder="1" applyAlignment="1" applyProtection="1">
      <alignment vertical="center"/>
      <protection locked="0"/>
    </xf>
    <xf numFmtId="0" fontId="0" fillId="12" borderId="104" xfId="0" applyFont="1" applyFill="1" applyBorder="1" applyAlignment="1" applyProtection="1">
      <alignment horizontal="left" vertical="center"/>
      <protection locked="0"/>
    </xf>
    <xf numFmtId="177" fontId="0" fillId="12" borderId="104" xfId="13" applyNumberFormat="1" applyFont="1" applyFill="1" applyBorder="1" applyAlignment="1" applyProtection="1">
      <alignment vertical="center"/>
      <protection locked="0"/>
    </xf>
    <xf numFmtId="0" fontId="0" fillId="12" borderId="203" xfId="0" applyFont="1" applyFill="1" applyBorder="1" applyAlignment="1" applyProtection="1">
      <alignment horizontal="left" vertical="center"/>
      <protection locked="0"/>
    </xf>
    <xf numFmtId="167" fontId="0" fillId="29" borderId="106" xfId="13" applyNumberFormat="1" applyFont="1" applyFill="1" applyBorder="1" applyAlignment="1" applyProtection="1">
      <alignment vertical="center"/>
    </xf>
    <xf numFmtId="167" fontId="0" fillId="29" borderId="104" xfId="13" applyNumberFormat="1" applyFont="1" applyFill="1" applyBorder="1" applyAlignment="1" applyProtection="1">
      <alignment vertical="center"/>
    </xf>
    <xf numFmtId="167" fontId="0" fillId="29" borderId="105" xfId="13" applyNumberFormat="1" applyFont="1" applyFill="1" applyBorder="1" applyAlignment="1" applyProtection="1">
      <alignment vertical="center"/>
    </xf>
    <xf numFmtId="167" fontId="0" fillId="29" borderId="97" xfId="13" applyNumberFormat="1" applyFont="1" applyFill="1" applyBorder="1" applyAlignment="1" applyProtection="1">
      <alignment vertical="center"/>
    </xf>
    <xf numFmtId="179" fontId="14" fillId="36" borderId="106" xfId="16" applyNumberFormat="1" applyFill="1" applyBorder="1" applyAlignment="1" applyProtection="1">
      <alignment horizontal="center" vertical="center"/>
    </xf>
    <xf numFmtId="179" fontId="14" fillId="36" borderId="104" xfId="16" applyNumberFormat="1" applyFill="1" applyBorder="1" applyAlignment="1" applyProtection="1">
      <alignment horizontal="center" vertical="center"/>
    </xf>
    <xf numFmtId="0" fontId="0" fillId="12" borderId="215" xfId="0" applyFont="1" applyFill="1" applyBorder="1" applyAlignment="1" applyProtection="1">
      <alignment horizontal="left" vertical="center"/>
      <protection locked="0"/>
    </xf>
    <xf numFmtId="177" fontId="0" fillId="12" borderId="215" xfId="13" applyNumberFormat="1" applyFont="1" applyFill="1" applyBorder="1" applyAlignment="1" applyProtection="1">
      <alignment vertical="center"/>
      <protection locked="0"/>
    </xf>
    <xf numFmtId="0" fontId="0" fillId="12" borderId="106" xfId="0" applyFont="1" applyFill="1" applyBorder="1" applyAlignment="1" applyProtection="1">
      <alignment horizontal="left" vertical="center"/>
      <protection locked="0"/>
    </xf>
    <xf numFmtId="167" fontId="0" fillId="12" borderId="105" xfId="13" applyNumberFormat="1" applyFont="1" applyFill="1" applyBorder="1" applyAlignment="1" applyProtection="1">
      <alignment vertical="center"/>
      <protection locked="0"/>
    </xf>
    <xf numFmtId="179" fontId="14" fillId="36" borderId="105" xfId="16" applyNumberFormat="1" applyFill="1" applyBorder="1" applyAlignment="1" applyProtection="1">
      <alignment horizontal="center" vertical="center"/>
    </xf>
    <xf numFmtId="167" fontId="14" fillId="1" borderId="214" xfId="13" applyNumberFormat="1" applyFill="1" applyBorder="1" applyAlignment="1">
      <alignment vertical="center"/>
    </xf>
    <xf numFmtId="167" fontId="14" fillId="0" borderId="215" xfId="13" applyNumberFormat="1" applyBorder="1" applyAlignment="1">
      <alignment vertical="center"/>
    </xf>
    <xf numFmtId="167" fontId="14" fillId="0" borderId="54" xfId="13" applyNumberFormat="1" applyBorder="1" applyAlignment="1">
      <alignment vertical="center"/>
    </xf>
    <xf numFmtId="167" fontId="14" fillId="1" borderId="202" xfId="13" applyNumberFormat="1" applyFill="1" applyBorder="1" applyAlignment="1">
      <alignment vertical="center"/>
    </xf>
    <xf numFmtId="172" fontId="0" fillId="0" borderId="203" xfId="12" applyNumberFormat="1" applyFont="1" applyBorder="1" applyAlignment="1">
      <alignment vertical="center"/>
    </xf>
    <xf numFmtId="172" fontId="0" fillId="0" borderId="201" xfId="12" applyNumberFormat="1" applyFont="1" applyBorder="1" applyAlignment="1">
      <alignment vertical="center"/>
    </xf>
    <xf numFmtId="167" fontId="13" fillId="39" borderId="106" xfId="13" applyNumberFormat="1" applyFont="1" applyFill="1" applyBorder="1" applyAlignment="1">
      <alignment vertical="center"/>
    </xf>
    <xf numFmtId="167" fontId="13" fillId="39" borderId="104" xfId="13" applyNumberFormat="1" applyFont="1" applyFill="1" applyBorder="1" applyAlignment="1">
      <alignment vertical="center"/>
    </xf>
    <xf numFmtId="167" fontId="13" fillId="39" borderId="97" xfId="13" applyNumberFormat="1" applyFont="1" applyFill="1" applyBorder="1" applyAlignment="1">
      <alignment vertical="center"/>
    </xf>
    <xf numFmtId="167" fontId="14" fillId="1" borderId="203" xfId="13" applyNumberFormat="1" applyFill="1" applyBorder="1" applyAlignment="1">
      <alignment vertical="center"/>
    </xf>
    <xf numFmtId="167" fontId="14" fillId="1" borderId="201" xfId="13" applyNumberFormat="1" applyFill="1" applyBorder="1" applyAlignment="1">
      <alignment vertical="center"/>
    </xf>
    <xf numFmtId="172" fontId="0" fillId="1" borderId="203" xfId="12" applyNumberFormat="1" applyFont="1" applyFill="1" applyBorder="1" applyAlignment="1">
      <alignment vertical="center"/>
    </xf>
    <xf numFmtId="172" fontId="0" fillId="1" borderId="201" xfId="12" applyNumberFormat="1" applyFont="1" applyFill="1" applyBorder="1" applyAlignment="1">
      <alignment vertical="center"/>
    </xf>
    <xf numFmtId="167" fontId="14" fillId="0" borderId="214" xfId="13" applyNumberFormat="1" applyBorder="1" applyAlignment="1">
      <alignment vertical="center"/>
    </xf>
    <xf numFmtId="167" fontId="14" fillId="0" borderId="216" xfId="13" applyNumberFormat="1" applyBorder="1" applyAlignment="1">
      <alignment vertical="center"/>
    </xf>
    <xf numFmtId="172" fontId="0" fillId="0" borderId="202" xfId="12" applyNumberFormat="1" applyFont="1" applyBorder="1" applyAlignment="1">
      <alignment vertical="center"/>
    </xf>
    <xf numFmtId="172" fontId="0" fillId="0" borderId="204" xfId="12" applyNumberFormat="1" applyFont="1" applyBorder="1" applyAlignment="1">
      <alignment vertical="center"/>
    </xf>
    <xf numFmtId="167" fontId="13" fillId="39" borderId="224" xfId="13" applyNumberFormat="1" applyFont="1" applyFill="1" applyBorder="1" applyAlignment="1">
      <alignment vertical="center"/>
    </xf>
    <xf numFmtId="167" fontId="13" fillId="39" borderId="225" xfId="13" applyNumberFormat="1" applyFont="1" applyFill="1" applyBorder="1" applyAlignment="1">
      <alignment vertical="center"/>
    </xf>
    <xf numFmtId="167" fontId="13" fillId="39" borderId="200" xfId="13" applyNumberFormat="1" applyFont="1" applyFill="1" applyBorder="1" applyAlignment="1">
      <alignment vertical="center"/>
    </xf>
    <xf numFmtId="172" fontId="0" fillId="1" borderId="202" xfId="12" applyNumberFormat="1" applyFont="1" applyFill="1" applyBorder="1" applyAlignment="1">
      <alignment vertical="center"/>
    </xf>
    <xf numFmtId="172" fontId="0" fillId="1" borderId="204" xfId="12" applyNumberFormat="1" applyFont="1" applyFill="1" applyBorder="1" applyAlignment="1">
      <alignment vertical="center"/>
    </xf>
    <xf numFmtId="167" fontId="13" fillId="39" borderId="105" xfId="13" applyNumberFormat="1" applyFont="1" applyFill="1" applyBorder="1" applyAlignment="1">
      <alignment vertical="center"/>
    </xf>
    <xf numFmtId="178" fontId="0" fillId="12" borderId="215" xfId="13" applyNumberFormat="1" applyFont="1" applyFill="1" applyBorder="1" applyAlignment="1" applyProtection="1">
      <alignment horizontal="center" vertical="center"/>
      <protection locked="0"/>
    </xf>
    <xf numFmtId="167" fontId="14" fillId="1" borderId="81" xfId="13" applyNumberFormat="1" applyFill="1" applyBorder="1" applyAlignment="1">
      <alignment vertical="center"/>
    </xf>
    <xf numFmtId="167" fontId="14" fillId="1" borderId="208" xfId="13" applyNumberFormat="1" applyFill="1" applyBorder="1" applyAlignment="1">
      <alignment vertical="center"/>
    </xf>
    <xf numFmtId="167" fontId="14" fillId="1" borderId="134" xfId="13" applyNumberFormat="1" applyFill="1" applyBorder="1" applyAlignment="1">
      <alignment vertical="center"/>
    </xf>
    <xf numFmtId="0" fontId="13" fillId="21" borderId="203" xfId="0" applyFont="1" applyFill="1" applyBorder="1" applyAlignment="1">
      <alignment horizontal="left" vertical="center"/>
    </xf>
    <xf numFmtId="0" fontId="11" fillId="23" borderId="203" xfId="0" applyFont="1" applyFill="1" applyBorder="1" applyAlignment="1">
      <alignment horizontal="left" vertical="center"/>
    </xf>
    <xf numFmtId="0" fontId="11" fillId="20" borderId="140" xfId="0" applyFont="1" applyFill="1" applyBorder="1" applyAlignment="1">
      <alignment horizontal="left" vertical="center"/>
    </xf>
    <xf numFmtId="180" fontId="13" fillId="19" borderId="155" xfId="13" applyNumberFormat="1" applyFont="1" applyFill="1" applyBorder="1" applyAlignment="1" applyProtection="1">
      <alignment horizontal="center"/>
      <protection locked="0"/>
    </xf>
    <xf numFmtId="180" fontId="13" fillId="19" borderId="155" xfId="13" applyNumberFormat="1" applyFont="1" applyFill="1" applyBorder="1" applyAlignment="1">
      <alignment horizontal="center"/>
    </xf>
    <xf numFmtId="174" fontId="19" fillId="0" borderId="227" xfId="0" applyNumberFormat="1" applyFont="1" applyBorder="1" applyAlignment="1">
      <alignment horizontal="left"/>
    </xf>
    <xf numFmtId="42" fontId="0" fillId="49" borderId="203" xfId="31" applyFont="1" applyFill="1" applyBorder="1" applyAlignment="1" applyProtection="1">
      <alignment horizontal="center" vertical="center"/>
      <protection locked="0"/>
    </xf>
    <xf numFmtId="42" fontId="0" fillId="12" borderId="203" xfId="31" applyFont="1" applyFill="1" applyBorder="1" applyAlignment="1" applyProtection="1">
      <alignment horizontal="center" vertical="center"/>
      <protection locked="0"/>
    </xf>
    <xf numFmtId="0" fontId="11" fillId="23" borderId="227" xfId="0" applyFont="1" applyFill="1" applyBorder="1" applyAlignment="1">
      <alignment horizontal="left" vertical="center"/>
    </xf>
    <xf numFmtId="167" fontId="11" fillId="40" borderId="203" xfId="13" applyNumberFormat="1" applyFont="1" applyFill="1" applyBorder="1" applyAlignment="1" applyProtection="1">
      <alignment vertical="center"/>
      <protection locked="0"/>
    </xf>
    <xf numFmtId="167" fontId="11" fillId="40" borderId="203" xfId="13" applyNumberFormat="1" applyFont="1" applyFill="1" applyBorder="1" applyAlignment="1">
      <alignment vertical="center"/>
    </xf>
    <xf numFmtId="0" fontId="11" fillId="20" borderId="227" xfId="0" applyFont="1" applyFill="1" applyBorder="1" applyAlignment="1">
      <alignment horizontal="left" vertical="center"/>
    </xf>
    <xf numFmtId="180" fontId="13" fillId="19" borderId="203" xfId="13" applyNumberFormat="1" applyFont="1" applyFill="1" applyBorder="1" applyAlignment="1" applyProtection="1">
      <alignment horizontal="center"/>
      <protection locked="0"/>
    </xf>
    <xf numFmtId="180" fontId="13" fillId="19" borderId="203" xfId="13" applyNumberFormat="1" applyFont="1" applyFill="1" applyBorder="1" applyAlignment="1">
      <alignment horizontal="center"/>
    </xf>
    <xf numFmtId="0" fontId="11" fillId="20" borderId="227" xfId="0" applyFont="1" applyFill="1" applyBorder="1" applyAlignment="1" applyProtection="1">
      <alignment horizontal="left" vertical="center"/>
      <protection locked="0"/>
    </xf>
    <xf numFmtId="0" fontId="11" fillId="20" borderId="203" xfId="0" applyFont="1" applyFill="1" applyBorder="1" applyAlignment="1">
      <alignment horizontal="left" vertical="center"/>
    </xf>
    <xf numFmtId="0" fontId="11" fillId="20" borderId="203" xfId="0" applyFont="1" applyFill="1" applyBorder="1" applyAlignment="1" applyProtection="1">
      <alignment horizontal="left" vertical="center"/>
      <protection locked="0"/>
    </xf>
    <xf numFmtId="167" fontId="11" fillId="23" borderId="203" xfId="13" applyNumberFormat="1" applyFont="1" applyFill="1" applyBorder="1" applyAlignment="1">
      <alignment horizontal="center" vertical="center"/>
    </xf>
    <xf numFmtId="167" fontId="11" fillId="57" borderId="203" xfId="13" applyNumberFormat="1" applyFont="1" applyFill="1" applyBorder="1" applyAlignment="1">
      <alignment vertical="center"/>
    </xf>
    <xf numFmtId="167" fontId="13" fillId="40" borderId="203" xfId="13" applyNumberFormat="1" applyFont="1" applyFill="1" applyBorder="1" applyAlignment="1">
      <alignment vertical="center"/>
    </xf>
    <xf numFmtId="167" fontId="11" fillId="23" borderId="220" xfId="13" applyNumberFormat="1" applyFont="1" applyFill="1" applyBorder="1" applyAlignment="1">
      <alignment horizontal="center" vertical="center"/>
    </xf>
    <xf numFmtId="167" fontId="11" fillId="20" borderId="203" xfId="13" applyNumberFormat="1" applyFont="1" applyFill="1" applyBorder="1" applyAlignment="1">
      <alignment horizontal="center" vertical="center"/>
    </xf>
    <xf numFmtId="167" fontId="11" fillId="58" borderId="203" xfId="13" applyNumberFormat="1" applyFont="1" applyFill="1" applyBorder="1" applyAlignment="1">
      <alignment vertical="center"/>
    </xf>
    <xf numFmtId="167" fontId="13" fillId="41" borderId="203" xfId="13" applyNumberFormat="1" applyFont="1" applyFill="1" applyBorder="1" applyAlignment="1">
      <alignment vertical="center"/>
    </xf>
    <xf numFmtId="167" fontId="0" fillId="45" borderId="203" xfId="13" applyNumberFormat="1" applyFont="1" applyFill="1" applyBorder="1" applyAlignment="1">
      <alignment vertical="center"/>
    </xf>
    <xf numFmtId="167" fontId="19" fillId="29" borderId="203" xfId="13" applyNumberFormat="1" applyFont="1" applyFill="1" applyBorder="1" applyAlignment="1">
      <alignment vertical="center"/>
    </xf>
    <xf numFmtId="175" fontId="19" fillId="29" borderId="203" xfId="12" applyNumberFormat="1" applyFont="1" applyFill="1" applyBorder="1" applyAlignment="1">
      <alignment vertical="center"/>
    </xf>
    <xf numFmtId="167" fontId="11" fillId="28" borderId="220" xfId="13" applyNumberFormat="1" applyFont="1" applyFill="1" applyBorder="1" applyAlignment="1">
      <alignment vertical="center"/>
    </xf>
    <xf numFmtId="167" fontId="0" fillId="12" borderId="203" xfId="13" applyNumberFormat="1" applyFont="1" applyFill="1" applyBorder="1" applyAlignment="1" applyProtection="1">
      <alignment vertical="center"/>
      <protection locked="0"/>
    </xf>
    <xf numFmtId="167" fontId="19" fillId="12" borderId="203" xfId="13" applyNumberFormat="1" applyFont="1" applyFill="1" applyBorder="1" applyAlignment="1" applyProtection="1">
      <alignment vertical="center"/>
      <protection locked="0"/>
    </xf>
    <xf numFmtId="175" fontId="19" fillId="12" borderId="203" xfId="12" applyNumberFormat="1" applyFont="1" applyFill="1" applyBorder="1" applyAlignment="1" applyProtection="1">
      <alignment vertical="center"/>
      <protection locked="0"/>
    </xf>
    <xf numFmtId="174" fontId="30" fillId="0" borderId="227" xfId="0" applyNumberFormat="1" applyFont="1" applyBorder="1" applyAlignment="1">
      <alignment horizontal="left"/>
    </xf>
    <xf numFmtId="167" fontId="11" fillId="29" borderId="203" xfId="13" applyNumberFormat="1" applyFont="1" applyFill="1" applyBorder="1" applyAlignment="1">
      <alignment vertical="center"/>
    </xf>
    <xf numFmtId="175" fontId="14" fillId="29" borderId="203" xfId="12" applyNumberFormat="1" applyFill="1" applyBorder="1"/>
    <xf numFmtId="167" fontId="11" fillId="59" borderId="203" xfId="13" applyNumberFormat="1" applyFont="1" applyFill="1" applyBorder="1" applyAlignment="1">
      <alignment vertical="center"/>
    </xf>
    <xf numFmtId="167" fontId="19" fillId="60" borderId="203" xfId="13" applyNumberFormat="1" applyFont="1" applyFill="1" applyBorder="1" applyAlignment="1">
      <alignment vertical="center"/>
    </xf>
    <xf numFmtId="175" fontId="14" fillId="60" borderId="203" xfId="12" applyNumberFormat="1" applyFill="1" applyBorder="1"/>
    <xf numFmtId="167" fontId="11" fillId="20" borderId="203" xfId="13" applyNumberFormat="1" applyFont="1" applyFill="1" applyBorder="1" applyAlignment="1">
      <alignment vertical="center"/>
    </xf>
    <xf numFmtId="167" fontId="11" fillId="20" borderId="220" xfId="13" applyNumberFormat="1" applyFont="1" applyFill="1" applyBorder="1" applyAlignment="1">
      <alignment vertical="center"/>
    </xf>
    <xf numFmtId="167" fontId="19" fillId="61" borderId="203" xfId="13" applyNumberFormat="1" applyFont="1" applyFill="1" applyBorder="1" applyAlignment="1">
      <alignment vertical="center"/>
    </xf>
    <xf numFmtId="1" fontId="0" fillId="0" borderId="58" xfId="0" applyNumberFormat="1" applyBorder="1" applyAlignment="1">
      <alignment horizontal="center" vertical="center" wrapText="1"/>
    </xf>
    <xf numFmtId="174" fontId="19" fillId="0" borderId="188" xfId="0" applyNumberFormat="1" applyFont="1" applyBorder="1" applyAlignment="1">
      <alignment horizontal="left"/>
    </xf>
    <xf numFmtId="167" fontId="11" fillId="28" borderId="189" xfId="13" applyNumberFormat="1" applyFont="1" applyFill="1" applyBorder="1" applyAlignment="1">
      <alignment vertical="center"/>
    </xf>
    <xf numFmtId="167" fontId="13" fillId="43" borderId="203" xfId="13" applyNumberFormat="1" applyFont="1" applyFill="1" applyBorder="1" applyAlignment="1">
      <alignment horizontal="center" vertical="center"/>
    </xf>
    <xf numFmtId="167" fontId="0" fillId="28" borderId="203" xfId="13" applyNumberFormat="1" applyFont="1" applyFill="1" applyBorder="1" applyAlignment="1">
      <alignment vertical="center"/>
    </xf>
    <xf numFmtId="0" fontId="13" fillId="30" borderId="228" xfId="0" applyFont="1" applyFill="1" applyBorder="1" applyAlignment="1">
      <alignment horizontal="center" vertical="center" wrapText="1"/>
    </xf>
    <xf numFmtId="0" fontId="13" fillId="31" borderId="229" xfId="0" applyFont="1" applyFill="1" applyBorder="1" applyAlignment="1">
      <alignment vertical="center"/>
    </xf>
    <xf numFmtId="166" fontId="13" fillId="31" borderId="203" xfId="13" applyNumberFormat="1" applyFont="1" applyFill="1" applyBorder="1" applyAlignment="1">
      <alignment vertical="center"/>
    </xf>
    <xf numFmtId="166" fontId="13" fillId="32" borderId="203" xfId="13" applyNumberFormat="1" applyFont="1" applyFill="1" applyBorder="1" applyAlignment="1">
      <alignment vertical="center"/>
    </xf>
    <xf numFmtId="166" fontId="13" fillId="31" borderId="228" xfId="13" applyNumberFormat="1" applyFont="1" applyFill="1" applyBorder="1" applyAlignment="1">
      <alignment vertical="center"/>
    </xf>
    <xf numFmtId="0" fontId="13" fillId="43" borderId="203" xfId="0" applyFont="1" applyFill="1" applyBorder="1" applyAlignment="1">
      <alignment horizontal="center" vertical="center"/>
    </xf>
    <xf numFmtId="180" fontId="14" fillId="28" borderId="203" xfId="13" applyNumberFormat="1" applyFill="1" applyBorder="1"/>
    <xf numFmtId="175" fontId="14" fillId="29" borderId="203" xfId="12" applyNumberFormat="1" applyFont="1" applyFill="1" applyBorder="1"/>
    <xf numFmtId="0" fontId="13" fillId="62" borderId="220" xfId="0" applyFont="1" applyFill="1" applyBorder="1" applyAlignment="1" applyProtection="1">
      <alignment horizontal="center" vertical="center"/>
    </xf>
    <xf numFmtId="0" fontId="11" fillId="63" borderId="150" xfId="0" applyFont="1" applyFill="1" applyBorder="1" applyAlignment="1" applyProtection="1">
      <alignment horizontal="left" vertical="center"/>
    </xf>
    <xf numFmtId="167" fontId="11" fillId="63" borderId="101" xfId="13" applyNumberFormat="1" applyFont="1" applyFill="1" applyBorder="1" applyAlignment="1" applyProtection="1">
      <alignment horizontal="center" vertical="center"/>
    </xf>
    <xf numFmtId="167" fontId="11" fillId="24" borderId="101" xfId="13" applyNumberFormat="1" applyFont="1" applyFill="1" applyBorder="1" applyAlignment="1" applyProtection="1">
      <alignment vertical="center"/>
    </xf>
    <xf numFmtId="167" fontId="13" fillId="24" borderId="101" xfId="13" applyNumberFormat="1" applyFont="1" applyFill="1" applyBorder="1" applyAlignment="1" applyProtection="1">
      <alignment vertical="center"/>
    </xf>
    <xf numFmtId="167" fontId="11" fillId="63" borderId="171" xfId="13" applyNumberFormat="1" applyFont="1" applyFill="1" applyBorder="1" applyAlignment="1" applyProtection="1">
      <alignment horizontal="center" vertical="center"/>
    </xf>
    <xf numFmtId="0" fontId="0" fillId="1" borderId="0" xfId="0" applyFill="1" applyAlignment="1" applyProtection="1">
      <alignment vertical="center"/>
    </xf>
    <xf numFmtId="0" fontId="13" fillId="64" borderId="139" xfId="0" applyFont="1" applyFill="1" applyBorder="1" applyAlignment="1" applyProtection="1">
      <alignment horizontal="center" vertical="center" wrapText="1"/>
    </xf>
    <xf numFmtId="0" fontId="11" fillId="64" borderId="150" xfId="0" applyFont="1" applyFill="1" applyBorder="1" applyAlignment="1" applyProtection="1">
      <alignment horizontal="left" vertical="center"/>
    </xf>
    <xf numFmtId="167" fontId="11" fillId="64" borderId="101" xfId="13" applyNumberFormat="1" applyFont="1" applyFill="1" applyBorder="1" applyAlignment="1" applyProtection="1">
      <alignment horizontal="center" vertical="center"/>
    </xf>
    <xf numFmtId="167" fontId="11" fillId="22" borderId="101" xfId="13" applyNumberFormat="1" applyFont="1" applyFill="1" applyBorder="1" applyAlignment="1" applyProtection="1">
      <alignment vertical="center"/>
    </xf>
    <xf numFmtId="167" fontId="13" fillId="22" borderId="101" xfId="13" applyNumberFormat="1" applyFont="1" applyFill="1" applyBorder="1" applyAlignment="1" applyProtection="1">
      <alignment vertical="center"/>
    </xf>
    <xf numFmtId="167" fontId="11" fillId="64" borderId="139" xfId="13" applyNumberFormat="1" applyFont="1" applyFill="1" applyBorder="1" applyAlignment="1" applyProtection="1">
      <alignment horizontal="center" vertical="center"/>
    </xf>
    <xf numFmtId="1" fontId="0" fillId="1" borderId="139" xfId="0" applyNumberFormat="1" applyFill="1" applyBorder="1" applyAlignment="1" applyProtection="1">
      <alignment horizontal="center" vertical="center" wrapText="1"/>
    </xf>
    <xf numFmtId="174" fontId="19" fillId="1" borderId="150" xfId="0" applyNumberFormat="1" applyFont="1" applyFill="1" applyBorder="1" applyAlignment="1" applyProtection="1">
      <alignment horizontal="left"/>
    </xf>
    <xf numFmtId="167" fontId="0" fillId="55" borderId="101" xfId="13" applyNumberFormat="1" applyFont="1" applyFill="1" applyBorder="1" applyAlignment="1" applyProtection="1">
      <alignment vertical="center"/>
    </xf>
    <xf numFmtId="167" fontId="19" fillId="1" borderId="101" xfId="13" applyNumberFormat="1" applyFont="1" applyFill="1" applyBorder="1" applyAlignment="1" applyProtection="1">
      <alignment vertical="center"/>
    </xf>
    <xf numFmtId="175" fontId="19" fillId="1" borderId="101" xfId="12" applyNumberFormat="1" applyFont="1" applyFill="1" applyBorder="1" applyAlignment="1" applyProtection="1">
      <alignment vertical="center"/>
    </xf>
    <xf numFmtId="167" fontId="19" fillId="56" borderId="101" xfId="13" applyNumberFormat="1" applyFont="1" applyFill="1" applyBorder="1" applyAlignment="1" applyProtection="1">
      <alignment vertical="center"/>
    </xf>
    <xf numFmtId="167" fontId="11" fillId="65" borderId="171" xfId="13" applyNumberFormat="1" applyFont="1" applyFill="1" applyBorder="1" applyAlignment="1" applyProtection="1">
      <alignment vertical="center"/>
    </xf>
    <xf numFmtId="167" fontId="0" fillId="54" borderId="101" xfId="13" applyNumberFormat="1" applyFont="1" applyFill="1" applyBorder="1" applyAlignment="1" applyProtection="1">
      <alignment vertical="center"/>
    </xf>
    <xf numFmtId="167" fontId="19" fillId="54" borderId="101" xfId="13" applyNumberFormat="1" applyFont="1" applyFill="1" applyBorder="1" applyAlignment="1" applyProtection="1">
      <alignment vertical="center"/>
    </xf>
    <xf numFmtId="175" fontId="19" fillId="54" borderId="101" xfId="12" applyNumberFormat="1" applyFont="1" applyFill="1" applyBorder="1" applyAlignment="1" applyProtection="1">
      <alignment vertical="center"/>
    </xf>
    <xf numFmtId="1" fontId="0" fillId="1" borderId="221" xfId="0" applyNumberFormat="1" applyFill="1" applyBorder="1" applyAlignment="1" applyProtection="1">
      <alignment horizontal="center"/>
    </xf>
    <xf numFmtId="1" fontId="0" fillId="1" borderId="141" xfId="0" applyNumberFormat="1" applyFill="1" applyBorder="1" applyProtection="1"/>
    <xf numFmtId="174" fontId="30" fillId="1" borderId="150" xfId="0" applyNumberFormat="1" applyFont="1" applyFill="1" applyBorder="1" applyAlignment="1" applyProtection="1">
      <alignment horizontal="left"/>
    </xf>
    <xf numFmtId="167" fontId="0" fillId="52" borderId="101" xfId="13" applyNumberFormat="1" applyFont="1" applyFill="1" applyBorder="1" applyAlignment="1" applyProtection="1">
      <alignment vertical="center"/>
    </xf>
    <xf numFmtId="167" fontId="19" fillId="52" borderId="101" xfId="13" applyNumberFormat="1" applyFont="1" applyFill="1" applyBorder="1" applyAlignment="1" applyProtection="1">
      <alignment vertical="center"/>
    </xf>
    <xf numFmtId="175" fontId="19" fillId="52" borderId="101" xfId="12" applyNumberFormat="1" applyFont="1" applyFill="1" applyBorder="1" applyAlignment="1" applyProtection="1">
      <alignment vertical="center"/>
    </xf>
    <xf numFmtId="167" fontId="11" fillId="63" borderId="139" xfId="13" applyNumberFormat="1" applyFont="1" applyFill="1" applyBorder="1" applyAlignment="1" applyProtection="1">
      <alignment horizontal="center" vertical="center"/>
    </xf>
    <xf numFmtId="167" fontId="11" fillId="64" borderId="101" xfId="13" applyNumberFormat="1" applyFont="1" applyFill="1" applyBorder="1" applyAlignment="1" applyProtection="1">
      <alignment vertical="center"/>
    </xf>
    <xf numFmtId="167" fontId="11" fillId="64" borderId="171" xfId="13" applyNumberFormat="1" applyFont="1" applyFill="1" applyBorder="1" applyAlignment="1" applyProtection="1">
      <alignment vertical="center"/>
    </xf>
    <xf numFmtId="1" fontId="0" fillId="66" borderId="139" xfId="0" applyNumberFormat="1" applyFill="1" applyBorder="1" applyAlignment="1" applyProtection="1">
      <alignment horizontal="center" vertical="center" wrapText="1"/>
    </xf>
    <xf numFmtId="167" fontId="11" fillId="51" borderId="101" xfId="13" applyNumberFormat="1" applyFont="1" applyFill="1" applyBorder="1" applyAlignment="1" applyProtection="1">
      <alignment vertical="center"/>
    </xf>
    <xf numFmtId="1" fontId="0" fillId="1" borderId="2" xfId="0" applyNumberFormat="1" applyFill="1" applyBorder="1" applyAlignment="1" applyProtection="1">
      <alignment horizontal="center" vertical="center" wrapText="1"/>
    </xf>
    <xf numFmtId="174" fontId="19" fillId="1" borderId="198" xfId="0" applyNumberFormat="1" applyFont="1" applyFill="1" applyBorder="1" applyAlignment="1" applyProtection="1">
      <alignment horizontal="left"/>
    </xf>
    <xf numFmtId="167" fontId="11" fillId="65" borderId="199" xfId="13" applyNumberFormat="1" applyFont="1" applyFill="1" applyBorder="1" applyAlignment="1" applyProtection="1">
      <alignment vertical="center"/>
    </xf>
    <xf numFmtId="167" fontId="13" fillId="66" borderId="101" xfId="13" applyNumberFormat="1" applyFont="1" applyFill="1" applyBorder="1" applyAlignment="1" applyProtection="1">
      <alignment horizontal="center" vertical="center"/>
    </xf>
    <xf numFmtId="0" fontId="13" fillId="67" borderId="222" xfId="0" applyFont="1" applyFill="1" applyBorder="1" applyAlignment="1" applyProtection="1">
      <alignment horizontal="center" vertical="center" wrapText="1"/>
    </xf>
    <xf numFmtId="0" fontId="13" fillId="68" borderId="197" xfId="0" applyFont="1" applyFill="1" applyBorder="1" applyAlignment="1" applyProtection="1">
      <alignment vertical="center"/>
    </xf>
    <xf numFmtId="166" fontId="13" fillId="68" borderId="101" xfId="13" applyNumberFormat="1" applyFont="1" applyFill="1" applyBorder="1" applyAlignment="1" applyProtection="1">
      <alignment vertical="center"/>
    </xf>
    <xf numFmtId="166" fontId="13" fillId="32" borderId="101" xfId="13" applyNumberFormat="1" applyFont="1" applyFill="1" applyBorder="1" applyAlignment="1" applyProtection="1">
      <alignment vertical="center"/>
    </xf>
    <xf numFmtId="166" fontId="13" fillId="68" borderId="196" xfId="13" applyNumberFormat="1" applyFont="1" applyFill="1" applyBorder="1" applyAlignment="1" applyProtection="1">
      <alignment vertical="center"/>
    </xf>
    <xf numFmtId="0" fontId="13" fillId="66" borderId="101" xfId="0" applyFont="1" applyFill="1" applyBorder="1" applyAlignment="1" applyProtection="1">
      <alignment horizontal="center" vertical="center"/>
    </xf>
    <xf numFmtId="177" fontId="0" fillId="12" borderId="211" xfId="13" applyNumberFormat="1" applyFont="1" applyFill="1" applyBorder="1" applyAlignment="1" applyProtection="1">
      <alignment vertical="center"/>
      <protection locked="0"/>
    </xf>
    <xf numFmtId="177" fontId="0" fillId="12" borderId="210" xfId="13" applyNumberFormat="1" applyFont="1" applyFill="1" applyBorder="1" applyAlignment="1" applyProtection="1">
      <alignment vertical="center"/>
      <protection locked="0"/>
    </xf>
    <xf numFmtId="177" fontId="0" fillId="12" borderId="230" xfId="13" applyNumberFormat="1" applyFont="1" applyFill="1" applyBorder="1" applyAlignment="1" applyProtection="1">
      <alignment vertical="center"/>
      <protection locked="0"/>
    </xf>
    <xf numFmtId="177" fontId="0" fillId="12" borderId="118" xfId="13" applyNumberFormat="1" applyFont="1" applyFill="1" applyBorder="1" applyAlignment="1" applyProtection="1">
      <alignment vertical="center"/>
      <protection locked="0"/>
    </xf>
    <xf numFmtId="0" fontId="0" fillId="12" borderId="216" xfId="0" applyFont="1" applyFill="1" applyBorder="1" applyAlignment="1" applyProtection="1">
      <alignment horizontal="left" vertical="center"/>
      <protection locked="0"/>
    </xf>
    <xf numFmtId="0" fontId="0" fillId="12" borderId="134" xfId="0" applyFont="1" applyFill="1" applyBorder="1" applyAlignment="1" applyProtection="1">
      <alignment horizontal="left" vertical="center"/>
      <protection locked="0"/>
    </xf>
    <xf numFmtId="0" fontId="13" fillId="16" borderId="225" xfId="0" applyFont="1" applyFill="1" applyBorder="1" applyAlignment="1" applyProtection="1">
      <alignment horizontal="center" vertical="center" wrapText="1"/>
    </xf>
    <xf numFmtId="0" fontId="13" fillId="16" borderId="232" xfId="0" applyFont="1" applyFill="1" applyBorder="1" applyAlignment="1" applyProtection="1">
      <alignment horizontal="center" vertical="center" wrapText="1"/>
    </xf>
    <xf numFmtId="0" fontId="0" fillId="12" borderId="211" xfId="0" applyFont="1" applyFill="1" applyBorder="1" applyAlignment="1" applyProtection="1">
      <alignment horizontal="left" vertical="center"/>
      <protection locked="0"/>
    </xf>
    <xf numFmtId="0" fontId="0" fillId="12" borderId="215" xfId="0" applyFont="1" applyFill="1" applyBorder="1" applyProtection="1">
      <protection locked="0"/>
    </xf>
    <xf numFmtId="176" fontId="0" fillId="0" borderId="129" xfId="0" applyNumberFormat="1" applyFont="1" applyFill="1" applyBorder="1" applyAlignment="1" applyProtection="1">
      <alignment horizontal="right" vertical="center"/>
    </xf>
    <xf numFmtId="0" fontId="0" fillId="12" borderId="210" xfId="0" applyFont="1" applyFill="1" applyBorder="1" applyAlignment="1" applyProtection="1">
      <alignment horizontal="left" vertical="center"/>
      <protection locked="0"/>
    </xf>
    <xf numFmtId="0" fontId="0" fillId="12" borderId="203" xfId="0" applyFont="1" applyFill="1" applyBorder="1" applyProtection="1">
      <protection locked="0"/>
    </xf>
    <xf numFmtId="0" fontId="0" fillId="12" borderId="201" xfId="0" applyFont="1" applyFill="1" applyBorder="1" applyProtection="1">
      <protection locked="0"/>
    </xf>
    <xf numFmtId="177" fontId="0" fillId="12" borderId="201" xfId="13" applyNumberFormat="1" applyFont="1" applyFill="1" applyBorder="1" applyAlignment="1" applyProtection="1">
      <alignment vertical="center"/>
      <protection locked="0"/>
    </xf>
    <xf numFmtId="176" fontId="0" fillId="0" borderId="130" xfId="0" applyNumberFormat="1" applyFont="1" applyFill="1" applyBorder="1" applyAlignment="1" applyProtection="1">
      <alignment horizontal="right" vertical="center"/>
    </xf>
    <xf numFmtId="0" fontId="0" fillId="12" borderId="118" xfId="0" applyFont="1" applyFill="1" applyBorder="1" applyAlignment="1" applyProtection="1">
      <alignment horizontal="left" vertical="center"/>
      <protection locked="0"/>
    </xf>
    <xf numFmtId="0" fontId="0" fillId="12" borderId="104" xfId="0" applyFont="1" applyFill="1" applyBorder="1" applyProtection="1">
      <protection locked="0"/>
    </xf>
    <xf numFmtId="0" fontId="0" fillId="12" borderId="97" xfId="0" applyFont="1" applyFill="1" applyBorder="1" applyProtection="1">
      <protection locked="0"/>
    </xf>
    <xf numFmtId="177" fontId="0" fillId="12" borderId="97" xfId="13" applyNumberFormat="1" applyFont="1" applyFill="1" applyBorder="1" applyAlignment="1" applyProtection="1">
      <alignment vertical="center"/>
      <protection locked="0"/>
    </xf>
    <xf numFmtId="176" fontId="0" fillId="0" borderId="131" xfId="0" applyNumberFormat="1" applyFont="1" applyFill="1" applyBorder="1" applyAlignment="1" applyProtection="1">
      <alignment horizontal="right" vertical="center"/>
    </xf>
    <xf numFmtId="167" fontId="0" fillId="69" borderId="102" xfId="13" applyNumberFormat="1" applyFont="1" applyFill="1" applyBorder="1" applyAlignment="1" applyProtection="1">
      <alignment vertical="center"/>
    </xf>
    <xf numFmtId="167" fontId="0" fillId="69" borderId="101" xfId="13" applyNumberFormat="1" applyFont="1" applyFill="1" applyBorder="1" applyAlignment="1" applyProtection="1">
      <alignment vertical="center"/>
    </xf>
    <xf numFmtId="0" fontId="0" fillId="12" borderId="231" xfId="0" applyFont="1" applyFill="1" applyBorder="1" applyAlignment="1" applyProtection="1">
      <alignment horizontal="left" vertical="center"/>
      <protection locked="0"/>
    </xf>
    <xf numFmtId="167" fontId="0" fillId="69" borderId="103" xfId="13" applyNumberFormat="1" applyFont="1" applyFill="1" applyBorder="1" applyAlignment="1" applyProtection="1">
      <alignment vertical="center"/>
    </xf>
    <xf numFmtId="167" fontId="0" fillId="69" borderId="144" xfId="13" applyNumberFormat="1" applyFont="1" applyFill="1" applyBorder="1" applyAlignment="1" applyProtection="1">
      <alignment vertical="center"/>
    </xf>
    <xf numFmtId="175" fontId="14" fillId="12" borderId="203" xfId="12" applyNumberFormat="1" applyFill="1" applyBorder="1" applyProtection="1">
      <protection locked="0"/>
    </xf>
    <xf numFmtId="179" fontId="14" fillId="53" borderId="102" xfId="16" applyNumberFormat="1" applyFill="1" applyBorder="1" applyAlignment="1" applyProtection="1">
      <alignment horizontal="center" vertical="center"/>
    </xf>
    <xf numFmtId="179" fontId="14" fillId="53" borderId="101" xfId="16" applyNumberFormat="1" applyFill="1" applyBorder="1" applyAlignment="1" applyProtection="1">
      <alignment horizontal="center" vertical="center"/>
    </xf>
    <xf numFmtId="179" fontId="14" fillId="53" borderId="103" xfId="16" applyNumberFormat="1" applyFill="1" applyBorder="1" applyAlignment="1" applyProtection="1">
      <alignment horizontal="center" vertical="center"/>
    </xf>
    <xf numFmtId="0" fontId="0" fillId="54" borderId="102" xfId="0" applyFont="1" applyFill="1" applyBorder="1" applyAlignment="1" applyProtection="1">
      <alignment horizontal="left" vertical="center"/>
    </xf>
    <xf numFmtId="167" fontId="0" fillId="54" borderId="103" xfId="13" applyNumberFormat="1" applyFont="1" applyFill="1" applyBorder="1" applyAlignment="1" applyProtection="1">
      <alignment vertical="center"/>
    </xf>
    <xf numFmtId="167" fontId="0" fillId="56" borderId="130" xfId="13" applyNumberFormat="1" applyFont="1" applyFill="1" applyBorder="1" applyAlignment="1" applyProtection="1">
      <alignment vertical="center"/>
    </xf>
    <xf numFmtId="0" fontId="13" fillId="16" borderId="200" xfId="0" applyFont="1" applyFill="1" applyBorder="1" applyAlignment="1" applyProtection="1">
      <alignment horizontal="center" vertical="center" wrapText="1"/>
    </xf>
    <xf numFmtId="167" fontId="0" fillId="0" borderId="88" xfId="0" applyNumberForma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67" fontId="0" fillId="0" borderId="214" xfId="13" applyNumberFormat="1" applyFont="1" applyFill="1" applyBorder="1" applyAlignment="1" applyProtection="1">
      <alignment vertical="center"/>
    </xf>
    <xf numFmtId="167" fontId="0" fillId="0" borderId="215" xfId="13" applyNumberFormat="1" applyFont="1" applyFill="1" applyBorder="1" applyAlignment="1" applyProtection="1">
      <alignment vertical="center"/>
    </xf>
    <xf numFmtId="169" fontId="0" fillId="0" borderId="215" xfId="0" applyNumberFormat="1" applyFont="1" applyFill="1" applyBorder="1" applyAlignment="1" applyProtection="1">
      <alignment horizontal="center" vertical="center"/>
    </xf>
    <xf numFmtId="169" fontId="0" fillId="0" borderId="216" xfId="0" applyNumberFormat="1" applyFont="1" applyFill="1" applyBorder="1" applyAlignment="1" applyProtection="1">
      <alignment horizontal="center" vertical="center"/>
    </xf>
    <xf numFmtId="167" fontId="0" fillId="0" borderId="202" xfId="13" applyNumberFormat="1" applyFont="1" applyFill="1" applyBorder="1" applyAlignment="1" applyProtection="1">
      <alignment vertical="center"/>
    </xf>
    <xf numFmtId="167" fontId="0" fillId="0" borderId="203" xfId="13" applyNumberFormat="1" applyFont="1" applyFill="1" applyBorder="1" applyAlignment="1" applyProtection="1">
      <alignment vertical="center"/>
    </xf>
    <xf numFmtId="169" fontId="0" fillId="0" borderId="203" xfId="0" applyNumberFormat="1" applyFont="1" applyFill="1" applyBorder="1" applyAlignment="1" applyProtection="1">
      <alignment horizontal="center" vertical="center"/>
    </xf>
    <xf numFmtId="169" fontId="0" fillId="0" borderId="204" xfId="0" applyNumberFormat="1" applyFont="1" applyFill="1" applyBorder="1" applyAlignment="1" applyProtection="1">
      <alignment horizontal="center" vertical="center"/>
    </xf>
    <xf numFmtId="167" fontId="0" fillId="1" borderId="202" xfId="13" applyNumberFormat="1" applyFont="1" applyFill="1" applyBorder="1" applyAlignment="1" applyProtection="1">
      <alignment vertical="center"/>
    </xf>
    <xf numFmtId="167" fontId="0" fillId="1" borderId="203" xfId="13" applyNumberFormat="1" applyFont="1" applyFill="1" applyBorder="1" applyAlignment="1" applyProtection="1">
      <alignment vertical="center"/>
    </xf>
    <xf numFmtId="167" fontId="0" fillId="1" borderId="201" xfId="13" applyNumberFormat="1" applyFont="1" applyFill="1" applyBorder="1" applyAlignment="1" applyProtection="1">
      <alignment vertical="center"/>
    </xf>
    <xf numFmtId="167" fontId="0" fillId="1" borderId="204" xfId="13" applyNumberFormat="1" applyFont="1" applyFill="1" applyBorder="1" applyAlignment="1" applyProtection="1">
      <alignment vertical="center"/>
    </xf>
    <xf numFmtId="177" fontId="0" fillId="29" borderId="215" xfId="13" applyNumberFormat="1" applyFont="1" applyFill="1" applyBorder="1" applyAlignment="1" applyProtection="1">
      <alignment vertical="center"/>
    </xf>
    <xf numFmtId="177" fontId="0" fillId="29" borderId="216" xfId="13" applyNumberFormat="1" applyFont="1" applyFill="1" applyBorder="1" applyAlignment="1" applyProtection="1">
      <alignment vertical="center"/>
    </xf>
    <xf numFmtId="177" fontId="0" fillId="29" borderId="203" xfId="13" applyNumberFormat="1" applyFont="1" applyFill="1" applyBorder="1" applyAlignment="1" applyProtection="1">
      <alignment vertical="center"/>
    </xf>
    <xf numFmtId="177" fontId="0" fillId="29" borderId="204" xfId="13" applyNumberFormat="1" applyFont="1" applyFill="1" applyBorder="1" applyAlignment="1" applyProtection="1">
      <alignment vertical="center"/>
    </xf>
    <xf numFmtId="169" fontId="0" fillId="45" borderId="203" xfId="13" applyNumberFormat="1" applyFont="1" applyFill="1" applyBorder="1" applyAlignment="1" applyProtection="1">
      <alignment horizontal="center" vertical="center"/>
    </xf>
    <xf numFmtId="177" fontId="0" fillId="45" borderId="203" xfId="13" applyNumberFormat="1" applyFont="1" applyFill="1" applyBorder="1" applyAlignment="1" applyProtection="1">
      <alignment vertical="center"/>
    </xf>
    <xf numFmtId="0" fontId="0" fillId="45" borderId="233" xfId="0" applyFont="1" applyFill="1" applyBorder="1" applyAlignment="1" applyProtection="1">
      <alignment horizontal="left" vertical="center"/>
    </xf>
    <xf numFmtId="0" fontId="0" fillId="45" borderId="146" xfId="0" applyFont="1" applyFill="1" applyBorder="1" applyAlignment="1" applyProtection="1">
      <alignment horizontal="left" vertical="center"/>
    </xf>
    <xf numFmtId="0" fontId="0" fillId="45" borderId="97" xfId="0" applyFont="1" applyFill="1" applyBorder="1" applyAlignment="1" applyProtection="1">
      <alignment horizontal="left" vertical="center"/>
    </xf>
    <xf numFmtId="177" fontId="0" fillId="45" borderId="214" xfId="13" applyNumberFormat="1" applyFont="1" applyFill="1" applyBorder="1" applyAlignment="1" applyProtection="1">
      <alignment vertical="center"/>
    </xf>
    <xf numFmtId="177" fontId="0" fillId="45" borderId="215" xfId="13" applyNumberFormat="1" applyFont="1" applyFill="1" applyBorder="1" applyAlignment="1" applyProtection="1">
      <alignment vertical="center"/>
    </xf>
    <xf numFmtId="169" fontId="0" fillId="45" borderId="215" xfId="13" applyNumberFormat="1" applyFont="1" applyFill="1" applyBorder="1" applyAlignment="1" applyProtection="1">
      <alignment horizontal="center" vertical="center"/>
    </xf>
    <xf numFmtId="177" fontId="0" fillId="45" borderId="202" xfId="13" applyNumberFormat="1" applyFont="1" applyFill="1" applyBorder="1" applyAlignment="1" applyProtection="1">
      <alignment vertical="center"/>
    </xf>
    <xf numFmtId="177" fontId="0" fillId="29" borderId="104" xfId="13" applyNumberFormat="1" applyFont="1" applyFill="1" applyBorder="1" applyAlignment="1" applyProtection="1">
      <alignment vertical="center"/>
    </xf>
    <xf numFmtId="177" fontId="0" fillId="29" borderId="105" xfId="13" applyNumberFormat="1" applyFont="1" applyFill="1" applyBorder="1" applyAlignment="1" applyProtection="1">
      <alignment vertical="center"/>
    </xf>
    <xf numFmtId="167" fontId="0" fillId="72" borderId="101" xfId="13" applyNumberFormat="1" applyFont="1" applyFill="1" applyBorder="1" applyAlignment="1" applyProtection="1">
      <alignment vertical="center"/>
    </xf>
    <xf numFmtId="180" fontId="14" fillId="54" borderId="101" xfId="13" applyNumberFormat="1" applyFill="1" applyBorder="1" applyProtection="1"/>
    <xf numFmtId="0" fontId="13" fillId="0" borderId="2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77" fontId="0" fillId="45" borderId="118" xfId="13" applyNumberFormat="1" applyFont="1" applyFill="1" applyBorder="1" applyAlignment="1" applyProtection="1">
      <alignment vertical="center"/>
    </xf>
    <xf numFmtId="0" fontId="1" fillId="43" borderId="0" xfId="37" applyFill="1"/>
    <xf numFmtId="0" fontId="36" fillId="73" borderId="235" xfId="37" applyFont="1" applyFill="1" applyBorder="1" applyAlignment="1">
      <alignment horizontal="center" vertical="center" wrapText="1"/>
    </xf>
    <xf numFmtId="0" fontId="36" fillId="43" borderId="0" xfId="37" applyFont="1" applyFill="1" applyAlignment="1">
      <alignment horizontal="right"/>
    </xf>
    <xf numFmtId="1" fontId="37" fillId="43" borderId="235" xfId="38" applyNumberFormat="1" applyFont="1" applyFill="1" applyBorder="1" applyAlignment="1">
      <alignment horizontal="center" vertical="center"/>
    </xf>
    <xf numFmtId="1" fontId="37" fillId="43" borderId="0" xfId="38" applyNumberFormat="1" applyFont="1" applyFill="1" applyBorder="1" applyAlignment="1">
      <alignment horizontal="center" vertical="center"/>
    </xf>
    <xf numFmtId="0" fontId="36" fillId="46" borderId="0" xfId="37" applyFont="1" applyFill="1" applyAlignment="1">
      <alignment horizontal="left" vertical="center" indent="1"/>
    </xf>
    <xf numFmtId="0" fontId="1" fillId="43" borderId="0" xfId="37" applyFill="1" applyAlignment="1">
      <alignment horizontal="left" indent="2"/>
    </xf>
    <xf numFmtId="185" fontId="1" fillId="43" borderId="0" xfId="37" applyNumberFormat="1" applyFill="1"/>
    <xf numFmtId="185" fontId="36" fillId="43" borderId="0" xfId="37" applyNumberFormat="1" applyFont="1" applyFill="1"/>
    <xf numFmtId="0" fontId="36" fillId="70" borderId="203" xfId="37" applyFont="1" applyFill="1" applyBorder="1" applyAlignment="1">
      <alignment horizontal="left" indent="2"/>
    </xf>
    <xf numFmtId="185" fontId="36" fillId="70" borderId="203" xfId="37" applyNumberFormat="1" applyFont="1" applyFill="1" applyBorder="1"/>
    <xf numFmtId="0" fontId="36" fillId="70" borderId="235" xfId="37" applyFont="1" applyFill="1" applyBorder="1" applyAlignment="1">
      <alignment horizontal="center" vertical="center"/>
    </xf>
    <xf numFmtId="177" fontId="0" fillId="71" borderId="211" xfId="13" applyNumberFormat="1" applyFont="1" applyFill="1" applyBorder="1" applyAlignment="1" applyProtection="1">
      <alignment vertical="center"/>
    </xf>
    <xf numFmtId="177" fontId="0" fillId="71" borderId="210" xfId="13" applyNumberFormat="1" applyFont="1" applyFill="1" applyBorder="1" applyAlignment="1" applyProtection="1">
      <alignment vertical="center"/>
    </xf>
    <xf numFmtId="177" fontId="0" fillId="71" borderId="118" xfId="13" applyNumberFormat="1" applyFont="1" applyFill="1" applyBorder="1" applyAlignment="1" applyProtection="1">
      <alignment vertical="center"/>
    </xf>
    <xf numFmtId="0" fontId="0" fillId="71" borderId="211" xfId="0" applyFont="1" applyFill="1" applyBorder="1" applyAlignment="1" applyProtection="1">
      <alignment horizontal="left" vertical="center"/>
    </xf>
    <xf numFmtId="0" fontId="0" fillId="71" borderId="215" xfId="0" applyFont="1" applyFill="1" applyBorder="1" applyAlignment="1" applyProtection="1">
      <alignment horizontal="left" vertical="center"/>
    </xf>
    <xf numFmtId="0" fontId="0" fillId="71" borderId="216" xfId="0" applyFont="1" applyFill="1" applyBorder="1" applyAlignment="1" applyProtection="1">
      <alignment horizontal="left" vertical="center"/>
    </xf>
    <xf numFmtId="177" fontId="0" fillId="71" borderId="215" xfId="13" applyNumberFormat="1" applyFont="1" applyFill="1" applyBorder="1" applyAlignment="1" applyProtection="1">
      <alignment vertical="center"/>
    </xf>
    <xf numFmtId="0" fontId="0" fillId="71" borderId="210" xfId="0" applyFont="1" applyFill="1" applyBorder="1" applyAlignment="1" applyProtection="1">
      <alignment horizontal="left" vertical="center"/>
    </xf>
    <xf numFmtId="0" fontId="0" fillId="71" borderId="203" xfId="0" applyFont="1" applyFill="1" applyBorder="1" applyAlignment="1" applyProtection="1">
      <alignment horizontal="left" vertical="center"/>
    </xf>
    <xf numFmtId="0" fontId="0" fillId="71" borderId="204" xfId="0" applyFont="1" applyFill="1" applyBorder="1" applyAlignment="1" applyProtection="1">
      <alignment horizontal="left" vertical="center"/>
    </xf>
    <xf numFmtId="177" fontId="0" fillId="71" borderId="203" xfId="13" applyNumberFormat="1" applyFont="1" applyFill="1" applyBorder="1" applyAlignment="1" applyProtection="1">
      <alignment vertical="center"/>
    </xf>
    <xf numFmtId="0" fontId="0" fillId="71" borderId="118" xfId="0" applyFont="1" applyFill="1" applyBorder="1" applyAlignment="1" applyProtection="1">
      <alignment horizontal="left" vertical="center"/>
    </xf>
    <xf numFmtId="0" fontId="0" fillId="71" borderId="104" xfId="0" applyFont="1" applyFill="1" applyBorder="1" applyAlignment="1" applyProtection="1">
      <alignment horizontal="left" vertical="center"/>
    </xf>
    <xf numFmtId="0" fontId="0" fillId="71" borderId="105" xfId="0" applyFont="1" applyFill="1" applyBorder="1" applyAlignment="1" applyProtection="1">
      <alignment horizontal="left" vertical="center"/>
    </xf>
    <xf numFmtId="177" fontId="0" fillId="71" borderId="104" xfId="13" applyNumberFormat="1" applyFont="1" applyFill="1" applyBorder="1" applyAlignment="1" applyProtection="1">
      <alignment vertical="center"/>
    </xf>
    <xf numFmtId="177" fontId="0" fillId="70" borderId="231" xfId="13" applyNumberFormat="1" applyFont="1" applyFill="1" applyBorder="1" applyAlignment="1" applyProtection="1">
      <alignment vertical="center"/>
    </xf>
    <xf numFmtId="177" fontId="0" fillId="70" borderId="210" xfId="13" applyNumberFormat="1" applyFont="1" applyFill="1" applyBorder="1" applyAlignment="1" applyProtection="1">
      <alignment vertical="center"/>
    </xf>
    <xf numFmtId="177" fontId="0" fillId="70" borderId="230" xfId="13" applyNumberFormat="1" applyFont="1" applyFill="1" applyBorder="1" applyAlignment="1" applyProtection="1">
      <alignment vertical="center"/>
    </xf>
    <xf numFmtId="177" fontId="0" fillId="70" borderId="211" xfId="13" applyNumberFormat="1" applyFont="1" applyFill="1" applyBorder="1" applyAlignment="1" applyProtection="1">
      <alignment vertical="center"/>
    </xf>
    <xf numFmtId="177" fontId="0" fillId="70" borderId="118" xfId="13" applyNumberFormat="1" applyFont="1" applyFill="1" applyBorder="1" applyAlignment="1" applyProtection="1">
      <alignment vertical="center"/>
    </xf>
    <xf numFmtId="0" fontId="0" fillId="45" borderId="239" xfId="0" applyFont="1" applyFill="1" applyBorder="1" applyAlignment="1" applyProtection="1">
      <alignment horizontal="left" vertical="center"/>
    </xf>
    <xf numFmtId="177" fontId="0" fillId="45" borderId="81" xfId="13" applyNumberFormat="1" applyFont="1" applyFill="1" applyBorder="1" applyAlignment="1">
      <alignment vertical="center"/>
    </xf>
    <xf numFmtId="177" fontId="0" fillId="45" borderId="208" xfId="13" applyNumberFormat="1" applyFont="1" applyFill="1" applyBorder="1" applyAlignment="1">
      <alignment vertical="center"/>
    </xf>
    <xf numFmtId="169" fontId="0" fillId="45" borderId="208" xfId="13" applyNumberFormat="1" applyFont="1" applyFill="1" applyBorder="1" applyAlignment="1" applyProtection="1">
      <alignment horizontal="center" vertical="center"/>
    </xf>
    <xf numFmtId="177" fontId="0" fillId="45" borderId="226" xfId="13" applyNumberFormat="1" applyFont="1" applyFill="1" applyBorder="1" applyAlignment="1" applyProtection="1">
      <alignment vertical="center"/>
    </xf>
    <xf numFmtId="177" fontId="0" fillId="29" borderId="142" xfId="13" applyNumberFormat="1" applyFont="1" applyFill="1" applyBorder="1" applyAlignment="1" applyProtection="1">
      <alignment vertical="center"/>
    </xf>
    <xf numFmtId="177" fontId="0" fillId="29" borderId="143" xfId="13" applyNumberFormat="1" applyFont="1" applyFill="1" applyBorder="1" applyAlignment="1" applyProtection="1">
      <alignment vertical="center"/>
    </xf>
    <xf numFmtId="177" fontId="0" fillId="45" borderId="106" xfId="13" applyNumberFormat="1" applyFont="1" applyFill="1" applyBorder="1" applyAlignment="1" applyProtection="1">
      <alignment vertical="center"/>
    </xf>
    <xf numFmtId="177" fontId="0" fillId="45" borderId="104" xfId="13" applyNumberFormat="1" applyFont="1" applyFill="1" applyBorder="1" applyAlignment="1" applyProtection="1">
      <alignment vertical="center"/>
    </xf>
    <xf numFmtId="167" fontId="13" fillId="34" borderId="246" xfId="0" applyNumberFormat="1" applyFont="1" applyFill="1" applyBorder="1" applyAlignment="1" applyProtection="1">
      <alignment horizontal="center" vertical="center" wrapText="1"/>
    </xf>
    <xf numFmtId="167" fontId="13" fillId="34" borderId="247" xfId="0" applyNumberFormat="1" applyFont="1" applyFill="1" applyBorder="1" applyAlignment="1" applyProtection="1">
      <alignment horizontal="center" vertical="center" wrapText="1"/>
    </xf>
    <xf numFmtId="167" fontId="13" fillId="34" borderId="248" xfId="0" applyNumberFormat="1" applyFont="1" applyFill="1" applyBorder="1" applyAlignment="1" applyProtection="1">
      <alignment horizontal="center" vertical="center" wrapText="1"/>
    </xf>
    <xf numFmtId="167" fontId="13" fillId="15" borderId="249" xfId="0" applyNumberFormat="1" applyFont="1" applyFill="1" applyBorder="1" applyAlignment="1" applyProtection="1">
      <alignment horizontal="center" vertical="center" wrapText="1"/>
    </xf>
    <xf numFmtId="167" fontId="13" fillId="15" borderId="234" xfId="0" applyNumberFormat="1" applyFont="1" applyFill="1" applyBorder="1" applyAlignment="1" applyProtection="1">
      <alignment horizontal="center" vertical="center" wrapText="1"/>
    </xf>
    <xf numFmtId="167" fontId="13" fillId="15" borderId="250" xfId="0" applyNumberFormat="1" applyFont="1" applyFill="1" applyBorder="1" applyAlignment="1" applyProtection="1">
      <alignment horizontal="center" vertical="center" wrapText="1"/>
    </xf>
    <xf numFmtId="167" fontId="13" fillId="15" borderId="251" xfId="0" applyNumberFormat="1" applyFont="1" applyFill="1" applyBorder="1" applyAlignment="1" applyProtection="1">
      <alignment horizontal="center" vertical="center" wrapText="1"/>
    </xf>
    <xf numFmtId="167" fontId="13" fillId="34" borderId="251" xfId="0" applyNumberFormat="1" applyFont="1" applyFill="1" applyBorder="1" applyAlignment="1" applyProtection="1">
      <alignment horizontal="center" vertical="center" wrapText="1"/>
    </xf>
    <xf numFmtId="177" fontId="0" fillId="45" borderId="233" xfId="13" applyNumberFormat="1" applyFont="1" applyFill="1" applyBorder="1" applyAlignment="1" applyProtection="1">
      <alignment vertical="center"/>
    </xf>
    <xf numFmtId="177" fontId="0" fillId="45" borderId="201" xfId="13" applyNumberFormat="1" applyFont="1" applyFill="1" applyBorder="1" applyAlignment="1" applyProtection="1">
      <alignment vertical="center"/>
    </xf>
    <xf numFmtId="177" fontId="0" fillId="45" borderId="97" xfId="13" applyNumberFormat="1" applyFont="1" applyFill="1" applyBorder="1" applyAlignment="1" applyProtection="1">
      <alignment vertical="center"/>
    </xf>
    <xf numFmtId="177" fontId="0" fillId="45" borderId="239" xfId="13" applyNumberFormat="1" applyFont="1" applyFill="1" applyBorder="1" applyAlignment="1">
      <alignment vertical="center"/>
    </xf>
    <xf numFmtId="167" fontId="13" fillId="34" borderId="250" xfId="0" applyNumberFormat="1" applyFont="1" applyFill="1" applyBorder="1" applyAlignment="1" applyProtection="1">
      <alignment horizontal="center" vertical="center" wrapText="1"/>
    </xf>
    <xf numFmtId="169" fontId="0" fillId="12" borderId="214" xfId="13" applyNumberFormat="1" applyFont="1" applyFill="1" applyBorder="1" applyAlignment="1" applyProtection="1">
      <alignment horizontal="center" vertical="center"/>
      <protection locked="0"/>
    </xf>
    <xf numFmtId="169" fontId="0" fillId="12" borderId="106" xfId="13" applyNumberFormat="1" applyFont="1" applyFill="1" applyBorder="1" applyAlignment="1" applyProtection="1">
      <alignment horizontal="center" vertical="center"/>
      <protection locked="0"/>
    </xf>
    <xf numFmtId="169" fontId="0" fillId="45" borderId="105" xfId="13" applyNumberFormat="1" applyFont="1" applyFill="1" applyBorder="1" applyAlignment="1" applyProtection="1">
      <alignment horizontal="center" vertical="center"/>
    </xf>
    <xf numFmtId="169" fontId="0" fillId="12" borderId="81" xfId="13" applyNumberFormat="1" applyFont="1" applyFill="1" applyBorder="1" applyAlignment="1" applyProtection="1">
      <alignment horizontal="center" vertical="center"/>
      <protection locked="0"/>
    </xf>
    <xf numFmtId="169" fontId="0" fillId="45" borderId="134" xfId="13" applyNumberFormat="1" applyFont="1" applyFill="1" applyBorder="1" applyAlignment="1" applyProtection="1">
      <alignment horizontal="center" vertical="center"/>
    </xf>
    <xf numFmtId="0" fontId="0" fillId="0" borderId="183" xfId="0" applyFont="1" applyFill="1" applyBorder="1" applyAlignment="1" applyProtection="1">
      <alignment horizontal="left" vertical="center"/>
    </xf>
    <xf numFmtId="178" fontId="13" fillId="56" borderId="60" xfId="0" applyNumberFormat="1" applyFont="1" applyFill="1" applyBorder="1" applyAlignment="1">
      <alignment vertical="center"/>
    </xf>
    <xf numFmtId="178" fontId="13" fillId="56" borderId="203" xfId="0" applyNumberFormat="1" applyFont="1" applyFill="1" applyBorder="1" applyAlignment="1">
      <alignment vertical="center"/>
    </xf>
    <xf numFmtId="0" fontId="0" fillId="0" borderId="108" xfId="0" applyFont="1" applyFill="1" applyBorder="1" applyAlignment="1" applyProtection="1">
      <alignment horizontal="left" vertical="center"/>
    </xf>
    <xf numFmtId="0" fontId="0" fillId="0" borderId="252" xfId="0" applyFont="1" applyFill="1" applyBorder="1" applyAlignment="1" applyProtection="1">
      <alignment horizontal="left" vertical="center"/>
    </xf>
    <xf numFmtId="0" fontId="0" fillId="0" borderId="109" xfId="0" applyFont="1" applyFill="1" applyBorder="1" applyAlignment="1" applyProtection="1">
      <alignment horizontal="left" vertical="center"/>
    </xf>
    <xf numFmtId="178" fontId="13" fillId="29" borderId="253" xfId="0" applyNumberFormat="1" applyFont="1" applyFill="1" applyBorder="1" applyAlignment="1">
      <alignment vertical="center"/>
    </xf>
    <xf numFmtId="178" fontId="0" fillId="12" borderId="214" xfId="13" applyNumberFormat="1" applyFont="1" applyFill="1" applyBorder="1" applyAlignment="1" applyProtection="1">
      <alignment horizontal="center" vertical="center"/>
      <protection locked="0"/>
    </xf>
    <xf numFmtId="178" fontId="0" fillId="12" borderId="132" xfId="13" applyNumberFormat="1" applyFont="1" applyFill="1" applyBorder="1" applyAlignment="1" applyProtection="1">
      <alignment horizontal="center" vertical="center"/>
      <protection locked="0"/>
    </xf>
    <xf numFmtId="178" fontId="0" fillId="12" borderId="106" xfId="13" applyNumberFormat="1" applyFont="1" applyFill="1" applyBorder="1" applyAlignment="1" applyProtection="1">
      <alignment horizontal="center" vertical="center"/>
      <protection locked="0"/>
    </xf>
    <xf numFmtId="178" fontId="13" fillId="56" borderId="202" xfId="0" applyNumberFormat="1" applyFont="1" applyFill="1" applyBorder="1" applyAlignment="1">
      <alignment vertical="center"/>
    </xf>
    <xf numFmtId="0" fontId="13" fillId="16" borderId="255" xfId="0" applyFont="1" applyFill="1" applyBorder="1" applyAlignment="1" applyProtection="1">
      <alignment horizontal="center" vertical="center" wrapText="1"/>
    </xf>
    <xf numFmtId="178" fontId="13" fillId="29" borderId="133" xfId="0" applyNumberFormat="1" applyFont="1" applyFill="1" applyBorder="1" applyAlignment="1">
      <alignment vertical="center"/>
    </xf>
    <xf numFmtId="178" fontId="13" fillId="29" borderId="60" xfId="0" applyNumberFormat="1" applyFont="1" applyFill="1" applyBorder="1" applyAlignment="1">
      <alignment vertical="center"/>
    </xf>
    <xf numFmtId="178" fontId="13" fillId="29" borderId="120" xfId="0" applyNumberFormat="1" applyFont="1" applyFill="1" applyBorder="1" applyAlignment="1">
      <alignment vertical="center"/>
    </xf>
    <xf numFmtId="167" fontId="13" fillId="34" borderId="258" xfId="0" applyNumberFormat="1" applyFont="1" applyFill="1" applyBorder="1" applyAlignment="1" applyProtection="1">
      <alignment horizontal="center" vertical="center" wrapText="1"/>
    </xf>
    <xf numFmtId="167" fontId="13" fillId="34" borderId="259" xfId="0" applyNumberFormat="1" applyFont="1" applyFill="1" applyBorder="1" applyAlignment="1" applyProtection="1">
      <alignment horizontal="center" vertical="center" wrapText="1"/>
    </xf>
    <xf numFmtId="167" fontId="13" fillId="34" borderId="260" xfId="0" applyNumberFormat="1" applyFont="1" applyFill="1" applyBorder="1" applyAlignment="1" applyProtection="1">
      <alignment horizontal="center" vertical="center" wrapText="1"/>
    </xf>
    <xf numFmtId="178" fontId="0" fillId="12" borderId="216" xfId="13" applyNumberFormat="1" applyFont="1" applyFill="1" applyBorder="1" applyAlignment="1" applyProtection="1">
      <alignment horizontal="center" vertical="center"/>
      <protection locked="0"/>
    </xf>
    <xf numFmtId="178" fontId="0" fillId="12" borderId="143" xfId="13" applyNumberFormat="1" applyFont="1" applyFill="1" applyBorder="1" applyAlignment="1" applyProtection="1">
      <alignment horizontal="center" vertical="center"/>
      <protection locked="0"/>
    </xf>
    <xf numFmtId="178" fontId="0" fillId="12" borderId="105" xfId="13" applyNumberFormat="1" applyFont="1" applyFill="1" applyBorder="1" applyAlignment="1" applyProtection="1">
      <alignment horizontal="center" vertical="center"/>
      <protection locked="0"/>
    </xf>
    <xf numFmtId="178" fontId="13" fillId="56" borderId="204" xfId="0" applyNumberFormat="1" applyFont="1" applyFill="1" applyBorder="1" applyAlignment="1">
      <alignment vertical="center"/>
    </xf>
    <xf numFmtId="0" fontId="10" fillId="46" borderId="97" xfId="0" applyFont="1" applyFill="1" applyBorder="1" applyAlignment="1" applyProtection="1">
      <alignment horizontal="center" vertical="center"/>
    </xf>
    <xf numFmtId="176" fontId="0" fillId="0" borderId="233" xfId="0" applyNumberFormat="1" applyFont="1" applyFill="1" applyBorder="1" applyAlignment="1" applyProtection="1">
      <alignment horizontal="right" vertical="center"/>
    </xf>
    <xf numFmtId="176" fontId="0" fillId="0" borderId="201" xfId="0" applyNumberFormat="1" applyFont="1" applyFill="1" applyBorder="1" applyAlignment="1" applyProtection="1">
      <alignment horizontal="right" vertical="center"/>
    </xf>
    <xf numFmtId="176" fontId="0" fillId="0" borderId="232" xfId="0" applyNumberFormat="1" applyFont="1" applyFill="1" applyBorder="1" applyAlignment="1" applyProtection="1">
      <alignment horizontal="right" vertical="center"/>
    </xf>
    <xf numFmtId="167" fontId="0" fillId="36" borderId="203" xfId="13" applyNumberFormat="1" applyFont="1" applyFill="1" applyBorder="1" applyAlignment="1" applyProtection="1">
      <alignment vertical="center"/>
    </xf>
    <xf numFmtId="167" fontId="13" fillId="34" borderId="264" xfId="0" applyNumberFormat="1" applyFont="1" applyFill="1" applyBorder="1" applyAlignment="1" applyProtection="1">
      <alignment horizontal="center" vertical="center" wrapText="1"/>
    </xf>
    <xf numFmtId="167" fontId="0" fillId="29" borderId="233" xfId="13" applyNumberFormat="1" applyFont="1" applyFill="1" applyBorder="1" applyAlignment="1" applyProtection="1">
      <alignment vertical="center"/>
    </xf>
    <xf numFmtId="167" fontId="0" fillId="29" borderId="201" xfId="13" applyNumberFormat="1" applyFont="1" applyFill="1" applyBorder="1" applyAlignment="1" applyProtection="1">
      <alignment vertical="center"/>
    </xf>
    <xf numFmtId="167" fontId="0" fillId="69" borderId="201" xfId="13" applyNumberFormat="1" applyFont="1" applyFill="1" applyBorder="1" applyAlignment="1" applyProtection="1">
      <alignment vertical="center"/>
    </xf>
    <xf numFmtId="167" fontId="13" fillId="15" borderId="266" xfId="0" applyNumberFormat="1" applyFont="1" applyFill="1" applyBorder="1" applyAlignment="1" applyProtection="1">
      <alignment horizontal="center" vertical="center" wrapText="1"/>
    </xf>
    <xf numFmtId="167" fontId="13" fillId="15" borderId="267" xfId="0" applyNumberFormat="1" applyFont="1" applyFill="1" applyBorder="1" applyAlignment="1" applyProtection="1">
      <alignment horizontal="center" vertical="center" wrapText="1"/>
    </xf>
    <xf numFmtId="167" fontId="13" fillId="15" borderId="258" xfId="0" applyNumberFormat="1" applyFont="1" applyFill="1" applyBorder="1" applyAlignment="1" applyProtection="1">
      <alignment horizontal="center" vertical="center" wrapText="1"/>
    </xf>
    <xf numFmtId="167" fontId="13" fillId="15" borderId="259" xfId="0" applyNumberFormat="1" applyFont="1" applyFill="1" applyBorder="1" applyAlignment="1" applyProtection="1">
      <alignment horizontal="center" vertical="center" wrapText="1"/>
    </xf>
    <xf numFmtId="167" fontId="13" fillId="15" borderId="260" xfId="0" applyNumberFormat="1" applyFont="1" applyFill="1" applyBorder="1" applyAlignment="1" applyProtection="1">
      <alignment horizontal="center" vertical="center" wrapText="1"/>
    </xf>
    <xf numFmtId="167" fontId="0" fillId="36" borderId="214" xfId="13" applyNumberFormat="1" applyFont="1" applyFill="1" applyBorder="1" applyAlignment="1" applyProtection="1">
      <alignment vertical="center"/>
    </xf>
    <xf numFmtId="167" fontId="0" fillId="36" borderId="215" xfId="13" applyNumberFormat="1" applyFont="1" applyFill="1" applyBorder="1" applyAlignment="1" applyProtection="1">
      <alignment vertical="center"/>
    </xf>
    <xf numFmtId="167" fontId="0" fillId="36" borderId="233" xfId="13" applyNumberFormat="1" applyFont="1" applyFill="1" applyBorder="1" applyAlignment="1" applyProtection="1">
      <alignment vertical="center"/>
    </xf>
    <xf numFmtId="167" fontId="0" fillId="36" borderId="202" xfId="13" applyNumberFormat="1" applyFont="1" applyFill="1" applyBorder="1" applyAlignment="1" applyProtection="1">
      <alignment vertical="center"/>
    </xf>
    <xf numFmtId="167" fontId="0" fillId="36" borderId="201" xfId="13" applyNumberFormat="1" applyFont="1" applyFill="1" applyBorder="1" applyAlignment="1" applyProtection="1">
      <alignment vertical="center"/>
    </xf>
    <xf numFmtId="167" fontId="13" fillId="15" borderId="264" xfId="0" applyNumberFormat="1" applyFont="1" applyFill="1" applyBorder="1" applyAlignment="1" applyProtection="1">
      <alignment horizontal="center" vertical="center" wrapText="1"/>
    </xf>
    <xf numFmtId="167" fontId="13" fillId="15" borderId="268" xfId="0" applyNumberFormat="1" applyFont="1" applyFill="1" applyBorder="1" applyAlignment="1" applyProtection="1">
      <alignment horizontal="center" vertical="center" wrapText="1"/>
    </xf>
    <xf numFmtId="169" fontId="0" fillId="0" borderId="211" xfId="0" applyNumberFormat="1" applyFont="1" applyFill="1" applyBorder="1" applyAlignment="1" applyProtection="1">
      <alignment horizontal="center" vertical="center"/>
    </xf>
    <xf numFmtId="169" fontId="0" fillId="0" borderId="210" xfId="0" applyNumberFormat="1" applyFont="1" applyFill="1" applyBorder="1" applyAlignment="1" applyProtection="1">
      <alignment horizontal="center" vertical="center"/>
    </xf>
    <xf numFmtId="167" fontId="0" fillId="1" borderId="210" xfId="13" applyNumberFormat="1" applyFont="1" applyFill="1" applyBorder="1" applyAlignment="1" applyProtection="1">
      <alignment vertical="center"/>
    </xf>
    <xf numFmtId="169" fontId="0" fillId="0" borderId="118" xfId="0" applyNumberFormat="1" applyFont="1" applyFill="1" applyBorder="1" applyAlignment="1" applyProtection="1">
      <alignment horizontal="center" vertical="center"/>
    </xf>
    <xf numFmtId="167" fontId="0" fillId="0" borderId="216" xfId="13" applyNumberFormat="1" applyFont="1" applyFill="1" applyBorder="1" applyAlignment="1" applyProtection="1">
      <alignment vertical="center"/>
    </xf>
    <xf numFmtId="167" fontId="0" fillId="0" borderId="204" xfId="13" applyNumberFormat="1" applyFont="1" applyFill="1" applyBorder="1" applyAlignment="1" applyProtection="1">
      <alignment vertical="center"/>
    </xf>
    <xf numFmtId="167" fontId="0" fillId="0" borderId="105" xfId="13" applyNumberFormat="1" applyFont="1" applyFill="1" applyBorder="1" applyAlignment="1" applyProtection="1">
      <alignment vertical="center"/>
    </xf>
    <xf numFmtId="166" fontId="0" fillId="0" borderId="269" xfId="13" applyNumberFormat="1" applyFont="1" applyFill="1" applyBorder="1" applyAlignment="1" applyProtection="1">
      <alignment vertical="center"/>
    </xf>
    <xf numFmtId="167" fontId="0" fillId="29" borderId="81" xfId="13" applyNumberFormat="1" applyFont="1" applyFill="1" applyBorder="1" applyAlignment="1" applyProtection="1">
      <alignment vertical="center"/>
    </xf>
    <xf numFmtId="167" fontId="0" fillId="29" borderId="208" xfId="13" applyNumberFormat="1" applyFont="1" applyFill="1" applyBorder="1" applyAlignment="1" applyProtection="1">
      <alignment vertical="center"/>
    </xf>
    <xf numFmtId="167" fontId="0" fillId="29" borderId="239" xfId="13" applyNumberFormat="1" applyFont="1" applyFill="1" applyBorder="1" applyAlignment="1" applyProtection="1">
      <alignment vertical="center"/>
    </xf>
    <xf numFmtId="167" fontId="0" fillId="36" borderId="81" xfId="13" applyNumberFormat="1" applyFont="1" applyFill="1" applyBorder="1" applyAlignment="1" applyProtection="1">
      <alignment vertical="center"/>
    </xf>
    <xf numFmtId="167" fontId="0" fillId="36" borderId="208" xfId="13" applyNumberFormat="1" applyFont="1" applyFill="1" applyBorder="1" applyAlignment="1" applyProtection="1">
      <alignment vertical="center"/>
    </xf>
    <xf numFmtId="167" fontId="0" fillId="36" borderId="239" xfId="13" applyNumberFormat="1" applyFont="1" applyFill="1" applyBorder="1" applyAlignment="1" applyProtection="1">
      <alignment vertical="center"/>
    </xf>
    <xf numFmtId="167" fontId="0" fillId="0" borderId="208" xfId="13" applyNumberFormat="1" applyFont="1" applyFill="1" applyBorder="1" applyAlignment="1" applyProtection="1">
      <alignment vertical="center"/>
    </xf>
    <xf numFmtId="169" fontId="0" fillId="0" borderId="231" xfId="0" applyNumberFormat="1" applyFont="1" applyFill="1" applyBorder="1" applyAlignment="1" applyProtection="1">
      <alignment horizontal="center" vertical="center"/>
    </xf>
    <xf numFmtId="169" fontId="0" fillId="0" borderId="208" xfId="0" applyNumberFormat="1" applyFont="1" applyFill="1" applyBorder="1" applyAlignment="1" applyProtection="1">
      <alignment horizontal="center" vertical="center"/>
    </xf>
    <xf numFmtId="169" fontId="0" fillId="0" borderId="134" xfId="0" applyNumberFormat="1" applyFont="1" applyFill="1" applyBorder="1" applyAlignment="1" applyProtection="1">
      <alignment horizontal="center" vertical="center"/>
    </xf>
    <xf numFmtId="167" fontId="0" fillId="29" borderId="214" xfId="13" applyNumberFormat="1" applyFont="1" applyFill="1" applyBorder="1" applyAlignment="1" applyProtection="1">
      <alignment vertical="center"/>
    </xf>
    <xf numFmtId="167" fontId="0" fillId="29" borderId="215" xfId="13" applyNumberFormat="1" applyFont="1" applyFill="1" applyBorder="1" applyAlignment="1" applyProtection="1">
      <alignment vertical="center"/>
    </xf>
    <xf numFmtId="167" fontId="0" fillId="29" borderId="202" xfId="13" applyNumberFormat="1" applyFont="1" applyFill="1" applyBorder="1" applyAlignment="1" applyProtection="1">
      <alignment vertical="center"/>
    </xf>
    <xf numFmtId="167" fontId="0" fillId="29" borderId="203" xfId="13" applyNumberFormat="1" applyFont="1" applyFill="1" applyBorder="1" applyAlignment="1" applyProtection="1">
      <alignment vertical="center"/>
    </xf>
    <xf numFmtId="177" fontId="14" fillId="45" borderId="106" xfId="13" applyNumberFormat="1" applyFont="1" applyFill="1" applyBorder="1" applyAlignment="1">
      <alignment vertical="center"/>
    </xf>
    <xf numFmtId="177" fontId="14" fillId="45" borderId="104" xfId="13" applyNumberFormat="1" applyFont="1" applyFill="1" applyBorder="1" applyAlignment="1">
      <alignment vertical="center"/>
    </xf>
    <xf numFmtId="177" fontId="14" fillId="45" borderId="97" xfId="13" applyNumberFormat="1" applyFont="1" applyFill="1" applyBorder="1" applyAlignment="1">
      <alignment vertical="center"/>
    </xf>
    <xf numFmtId="9" fontId="0" fillId="26" borderId="129" xfId="0" applyNumberFormat="1" applyFont="1" applyFill="1" applyBorder="1" applyAlignment="1" applyProtection="1">
      <alignment horizontal="center" vertical="center"/>
    </xf>
    <xf numFmtId="9" fontId="0" fillId="26" borderId="130" xfId="0" applyNumberFormat="1" applyFont="1" applyFill="1" applyBorder="1" applyAlignment="1" applyProtection="1">
      <alignment horizontal="center" vertical="center"/>
    </xf>
    <xf numFmtId="9" fontId="0" fillId="26" borderId="131" xfId="0" applyNumberFormat="1" applyFont="1" applyFill="1" applyBorder="1" applyAlignment="1" applyProtection="1">
      <alignment horizontal="center" vertical="center"/>
    </xf>
    <xf numFmtId="167" fontId="14" fillId="29" borderId="203" xfId="13" applyNumberFormat="1" applyFont="1" applyFill="1" applyBorder="1" applyAlignment="1" applyProtection="1">
      <alignment vertical="center"/>
    </xf>
    <xf numFmtId="175" fontId="14" fillId="29" borderId="203" xfId="12" applyNumberFormat="1" applyFont="1" applyFill="1" applyBorder="1" applyProtection="1"/>
    <xf numFmtId="167" fontId="19" fillId="29" borderId="203" xfId="13" applyNumberFormat="1" applyFont="1" applyFill="1" applyBorder="1" applyAlignment="1" applyProtection="1">
      <alignment vertical="center"/>
    </xf>
    <xf numFmtId="167" fontId="11" fillId="28" borderId="220" xfId="13" applyNumberFormat="1" applyFont="1" applyFill="1" applyBorder="1" applyAlignment="1" applyProtection="1">
      <alignment vertical="center"/>
    </xf>
    <xf numFmtId="175" fontId="14" fillId="29" borderId="203" xfId="12" applyNumberFormat="1" applyFill="1" applyBorder="1" applyProtection="1"/>
    <xf numFmtId="167" fontId="22" fillId="31" borderId="52" xfId="13" applyNumberFormat="1" applyFont="1" applyFill="1" applyBorder="1" applyAlignment="1" applyProtection="1">
      <alignment vertical="center" wrapText="1"/>
    </xf>
    <xf numFmtId="167" fontId="22" fillId="31" borderId="63" xfId="13" applyNumberFormat="1" applyFont="1" applyFill="1" applyBorder="1" applyAlignment="1" applyProtection="1">
      <alignment vertical="center" wrapText="1"/>
    </xf>
    <xf numFmtId="42" fontId="0" fillId="49" borderId="203" xfId="31" applyFont="1" applyFill="1" applyBorder="1" applyAlignment="1" applyProtection="1">
      <alignment horizontal="center" vertical="center"/>
    </xf>
    <xf numFmtId="176" fontId="0" fillId="29" borderId="108" xfId="0" applyNumberFormat="1" applyFont="1" applyFill="1" applyBorder="1" applyAlignment="1" applyProtection="1">
      <alignment horizontal="right" vertical="center"/>
    </xf>
    <xf numFmtId="176" fontId="0" fillId="29" borderId="183" xfId="0" applyNumberFormat="1" applyFont="1" applyFill="1" applyBorder="1" applyAlignment="1" applyProtection="1">
      <alignment horizontal="right" vertical="center"/>
    </xf>
    <xf numFmtId="176" fontId="0" fillId="29" borderId="252" xfId="0" applyNumberFormat="1" applyFont="1" applyFill="1" applyBorder="1" applyAlignment="1" applyProtection="1">
      <alignment horizontal="right" vertical="center"/>
    </xf>
    <xf numFmtId="176" fontId="23" fillId="26" borderId="48" xfId="0" applyNumberFormat="1" applyFont="1" applyFill="1" applyBorder="1" applyAlignment="1" applyProtection="1">
      <alignment horizontal="right" vertical="center"/>
    </xf>
    <xf numFmtId="0" fontId="0" fillId="12" borderId="270" xfId="0" applyFont="1" applyFill="1" applyBorder="1" applyAlignment="1" applyProtection="1">
      <alignment horizontal="left" vertical="center"/>
      <protection locked="0"/>
    </xf>
    <xf numFmtId="0" fontId="0" fillId="12" borderId="271" xfId="0" applyFont="1" applyFill="1" applyBorder="1" applyAlignment="1" applyProtection="1">
      <alignment horizontal="left" vertical="center"/>
      <protection locked="0"/>
    </xf>
    <xf numFmtId="0" fontId="0" fillId="12" borderId="271" xfId="0" applyFont="1" applyFill="1" applyBorder="1" applyProtection="1">
      <protection locked="0"/>
    </xf>
    <xf numFmtId="0" fontId="0" fillId="12" borderId="272" xfId="0" applyFont="1" applyFill="1" applyBorder="1" applyProtection="1">
      <protection locked="0"/>
    </xf>
    <xf numFmtId="0" fontId="0" fillId="12" borderId="46" xfId="0" applyFont="1" applyFill="1" applyBorder="1" applyAlignment="1" applyProtection="1">
      <alignment horizontal="left" vertical="center"/>
      <protection locked="0"/>
    </xf>
    <xf numFmtId="0" fontId="0" fillId="12" borderId="234" xfId="0" applyFont="1" applyFill="1" applyBorder="1" applyAlignment="1" applyProtection="1">
      <alignment horizontal="left" vertical="center"/>
      <protection locked="0"/>
    </xf>
    <xf numFmtId="0" fontId="0" fillId="12" borderId="234" xfId="0" applyFont="1" applyFill="1" applyBorder="1" applyProtection="1">
      <protection locked="0"/>
    </xf>
    <xf numFmtId="0" fontId="28" fillId="11" borderId="0" xfId="0" applyFont="1" applyFill="1" applyBorder="1" applyAlignment="1" applyProtection="1">
      <alignment horizontal="left" vertical="center"/>
    </xf>
    <xf numFmtId="176" fontId="0" fillId="29" borderId="109" xfId="0" applyNumberFormat="1" applyFont="1" applyFill="1" applyBorder="1" applyAlignment="1" applyProtection="1">
      <alignment horizontal="right" vertical="center"/>
    </xf>
    <xf numFmtId="176" fontId="0" fillId="29" borderId="233" xfId="0" applyNumberFormat="1" applyFont="1" applyFill="1" applyBorder="1" applyAlignment="1" applyProtection="1">
      <alignment horizontal="right" vertical="center"/>
    </xf>
    <xf numFmtId="176" fontId="0" fillId="29" borderId="201" xfId="0" applyNumberFormat="1" applyFont="1" applyFill="1" applyBorder="1" applyAlignment="1" applyProtection="1">
      <alignment horizontal="right" vertical="center"/>
    </xf>
    <xf numFmtId="176" fontId="0" fillId="29" borderId="97" xfId="0" applyNumberFormat="1" applyFont="1" applyFill="1" applyBorder="1" applyAlignment="1" applyProtection="1">
      <alignment horizontal="right" vertical="center"/>
    </xf>
    <xf numFmtId="176" fontId="0" fillId="0" borderId="273" xfId="0" applyNumberFormat="1" applyFont="1" applyFill="1" applyBorder="1" applyAlignment="1" applyProtection="1">
      <alignment horizontal="right" vertical="center"/>
    </xf>
    <xf numFmtId="176" fontId="0" fillId="0" borderId="274" xfId="0" applyNumberFormat="1" applyFont="1" applyFill="1" applyBorder="1" applyAlignment="1" applyProtection="1">
      <alignment horizontal="right" vertical="center"/>
    </xf>
    <xf numFmtId="0" fontId="11" fillId="17" borderId="101" xfId="0" applyFont="1" applyFill="1" applyBorder="1" applyAlignment="1" applyProtection="1">
      <alignment horizontal="center" vertical="center"/>
    </xf>
    <xf numFmtId="0" fontId="0" fillId="12" borderId="208" xfId="0" applyFont="1" applyFill="1" applyBorder="1" applyAlignment="1" applyProtection="1">
      <alignment horizontal="left" vertical="center"/>
      <protection locked="0"/>
    </xf>
    <xf numFmtId="0" fontId="0" fillId="12" borderId="233" xfId="0" applyFont="1" applyFill="1" applyBorder="1" applyProtection="1">
      <protection locked="0"/>
    </xf>
    <xf numFmtId="177" fontId="0" fillId="12" borderId="233" xfId="13" applyNumberFormat="1" applyFont="1" applyFill="1" applyBorder="1" applyAlignment="1" applyProtection="1">
      <alignment vertical="center"/>
      <protection locked="0"/>
    </xf>
    <xf numFmtId="0" fontId="0" fillId="12" borderId="236" xfId="0" applyFont="1" applyFill="1" applyBorder="1" applyProtection="1">
      <protection locked="0"/>
    </xf>
    <xf numFmtId="0" fontId="0" fillId="12" borderId="50" xfId="0" applyFill="1" applyBorder="1" applyAlignment="1" applyProtection="1">
      <alignment horizontal="left" vertical="center"/>
      <protection locked="0"/>
    </xf>
    <xf numFmtId="0" fontId="0" fillId="12" borderId="102" xfId="0" applyFill="1" applyBorder="1" applyAlignment="1" applyProtection="1">
      <alignment horizontal="left" vertical="center"/>
      <protection locked="0"/>
    </xf>
    <xf numFmtId="0" fontId="0" fillId="12" borderId="106" xfId="0" applyFill="1" applyBorder="1" applyAlignment="1" applyProtection="1">
      <alignment horizontal="left" vertical="center"/>
      <protection locked="0"/>
    </xf>
    <xf numFmtId="0" fontId="0" fillId="12" borderId="64" xfId="0" applyFill="1" applyBorder="1" applyAlignment="1" applyProtection="1">
      <alignment horizontal="left" vertical="center"/>
      <protection locked="0"/>
    </xf>
    <xf numFmtId="0" fontId="0" fillId="12" borderId="64" xfId="0" applyFill="1" applyBorder="1" applyProtection="1">
      <protection locked="0"/>
    </xf>
    <xf numFmtId="0" fontId="13" fillId="0" borderId="0" xfId="0" applyFont="1" applyProtection="1">
      <protection locked="0"/>
    </xf>
    <xf numFmtId="0" fontId="0" fillId="12" borderId="64" xfId="0" applyFill="1" applyBorder="1" applyAlignment="1" applyProtection="1">
      <alignment horizontal="center" vertical="center" wrapText="1"/>
      <protection locked="0"/>
    </xf>
    <xf numFmtId="177" fontId="29" fillId="12" borderId="203" xfId="13" applyNumberFormat="1" applyFont="1" applyFill="1" applyBorder="1" applyAlignment="1" applyProtection="1">
      <alignment vertical="center"/>
      <protection locked="0"/>
    </xf>
    <xf numFmtId="177" fontId="29" fillId="12" borderId="201" xfId="13" applyNumberFormat="1" applyFont="1" applyFill="1" applyBorder="1" applyAlignment="1" applyProtection="1">
      <alignment vertical="center"/>
      <protection locked="0"/>
    </xf>
    <xf numFmtId="177" fontId="29" fillId="12" borderId="101" xfId="13" applyNumberFormat="1" applyFont="1" applyFill="1" applyBorder="1" applyAlignment="1" applyProtection="1">
      <alignment vertical="center"/>
      <protection locked="0"/>
    </xf>
    <xf numFmtId="177" fontId="29" fillId="12" borderId="20" xfId="13" applyNumberFormat="1" applyFont="1" applyFill="1" applyBorder="1" applyAlignment="1" applyProtection="1">
      <alignment vertical="center"/>
      <protection locked="0"/>
    </xf>
    <xf numFmtId="0" fontId="29" fillId="11" borderId="0" xfId="0" applyFont="1" applyFill="1" applyBorder="1" applyAlignment="1" applyProtection="1">
      <alignment horizontal="left" vertical="center"/>
    </xf>
    <xf numFmtId="167" fontId="28" fillId="9" borderId="0" xfId="13" applyNumberFormat="1" applyFont="1" applyFill="1" applyBorder="1" applyAlignment="1" applyProtection="1">
      <alignment vertical="center"/>
    </xf>
    <xf numFmtId="0" fontId="29" fillId="0" borderId="0" xfId="0" applyFont="1" applyFill="1" applyBorder="1" applyProtection="1"/>
    <xf numFmtId="0" fontId="28" fillId="0" borderId="0" xfId="0" applyFont="1" applyBorder="1" applyProtection="1"/>
    <xf numFmtId="0" fontId="29" fillId="0" borderId="0" xfId="0" applyFont="1" applyAlignment="1">
      <alignment vertical="center"/>
    </xf>
    <xf numFmtId="167" fontId="29" fillId="12" borderId="203" xfId="13" applyNumberFormat="1" applyFont="1" applyFill="1" applyBorder="1" applyAlignment="1" applyProtection="1">
      <alignment vertical="center"/>
      <protection locked="0"/>
    </xf>
    <xf numFmtId="175" fontId="29" fillId="12" borderId="203" xfId="12" applyNumberFormat="1" applyFont="1" applyFill="1" applyBorder="1" applyAlignment="1" applyProtection="1">
      <alignment vertical="center"/>
      <protection locked="0"/>
    </xf>
    <xf numFmtId="9" fontId="14" fillId="12" borderId="214" xfId="27" applyNumberFormat="1" applyFill="1" applyBorder="1" applyAlignment="1" applyProtection="1">
      <alignment horizontal="center" vertical="center"/>
      <protection locked="0"/>
    </xf>
    <xf numFmtId="9" fontId="14" fillId="12" borderId="202" xfId="27" applyNumberFormat="1" applyFill="1" applyBorder="1" applyAlignment="1" applyProtection="1">
      <alignment horizontal="center" vertical="center"/>
      <protection locked="0"/>
    </xf>
    <xf numFmtId="9" fontId="14" fillId="12" borderId="106" xfId="27" applyNumberFormat="1" applyFill="1" applyBorder="1" applyAlignment="1" applyProtection="1">
      <alignment horizontal="center" vertical="center"/>
      <protection locked="0"/>
    </xf>
    <xf numFmtId="9" fontId="14" fillId="12" borderId="224" xfId="27" applyNumberFormat="1" applyFill="1" applyBorder="1" applyAlignment="1" applyProtection="1">
      <alignment horizontal="center" vertical="center"/>
      <protection locked="0"/>
    </xf>
    <xf numFmtId="169" fontId="0" fillId="45" borderId="233" xfId="13" applyNumberFormat="1" applyFont="1" applyFill="1" applyBorder="1" applyAlignment="1" applyProtection="1">
      <alignment horizontal="center" vertical="center"/>
    </xf>
    <xf numFmtId="169" fontId="0" fillId="45" borderId="201" xfId="13" applyNumberFormat="1" applyFont="1" applyFill="1" applyBorder="1" applyAlignment="1" applyProtection="1">
      <alignment horizontal="center" vertical="center"/>
    </xf>
    <xf numFmtId="169" fontId="0" fillId="45" borderId="97" xfId="13" applyNumberFormat="1" applyFont="1" applyFill="1" applyBorder="1" applyAlignment="1" applyProtection="1">
      <alignment horizontal="center" vertical="center"/>
    </xf>
    <xf numFmtId="177" fontId="0" fillId="29" borderId="155" xfId="13" applyNumberFormat="1" applyFont="1" applyFill="1" applyBorder="1" applyAlignment="1" applyProtection="1">
      <alignment vertical="center"/>
    </xf>
    <xf numFmtId="177" fontId="0" fillId="29" borderId="214" xfId="13" applyNumberFormat="1" applyFont="1" applyFill="1" applyBorder="1" applyAlignment="1" applyProtection="1">
      <alignment vertical="center"/>
    </xf>
    <xf numFmtId="177" fontId="0" fillId="29" borderId="202" xfId="13" applyNumberFormat="1" applyFont="1" applyFill="1" applyBorder="1" applyAlignment="1" applyProtection="1">
      <alignment vertical="center"/>
    </xf>
    <xf numFmtId="177" fontId="0" fillId="29" borderId="106" xfId="13" applyNumberFormat="1" applyFont="1" applyFill="1" applyBorder="1" applyAlignment="1" applyProtection="1">
      <alignment vertical="center"/>
    </xf>
    <xf numFmtId="0" fontId="21" fillId="0" borderId="0" xfId="20" applyAlignment="1" applyProtection="1">
      <alignment horizontal="center"/>
    </xf>
    <xf numFmtId="0" fontId="21" fillId="0" borderId="0" xfId="20"/>
    <xf numFmtId="0" fontId="0" fillId="0" borderId="0" xfId="0" applyFont="1"/>
    <xf numFmtId="0" fontId="21" fillId="0" borderId="0" xfId="2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7" fontId="0" fillId="9" borderId="129" xfId="13" applyNumberFormat="1" applyFont="1" applyFill="1" applyBorder="1" applyAlignment="1" applyProtection="1">
      <alignment horizontal="right" vertical="center"/>
    </xf>
    <xf numFmtId="167" fontId="0" fillId="9" borderId="130" xfId="13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45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7" fontId="13" fillId="15" borderId="163" xfId="0" applyNumberFormat="1" applyFont="1" applyFill="1" applyBorder="1" applyAlignment="1" applyProtection="1">
      <alignment horizontal="center" vertical="center"/>
    </xf>
    <xf numFmtId="167" fontId="13" fillId="15" borderId="148" xfId="0" applyNumberFormat="1" applyFont="1" applyFill="1" applyBorder="1" applyAlignment="1" applyProtection="1">
      <alignment horizontal="center" vertical="center"/>
    </xf>
    <xf numFmtId="167" fontId="23" fillId="38" borderId="87" xfId="0" applyNumberFormat="1" applyFont="1" applyFill="1" applyBorder="1" applyAlignment="1" applyProtection="1">
      <alignment horizontal="center" vertical="center" wrapText="1"/>
    </xf>
    <xf numFmtId="167" fontId="23" fillId="38" borderId="89" xfId="0" applyNumberFormat="1" applyFont="1" applyFill="1" applyBorder="1" applyAlignment="1" applyProtection="1">
      <alignment horizontal="center" vertical="center" wrapText="1"/>
    </xf>
    <xf numFmtId="167" fontId="23" fillId="38" borderId="92" xfId="0" applyNumberFormat="1" applyFont="1" applyFill="1" applyBorder="1" applyAlignment="1" applyProtection="1">
      <alignment horizontal="center" vertical="center" wrapText="1"/>
    </xf>
    <xf numFmtId="167" fontId="24" fillId="33" borderId="87" xfId="0" applyNumberFormat="1" applyFont="1" applyFill="1" applyBorder="1" applyAlignment="1" applyProtection="1">
      <alignment horizontal="center" vertical="center" wrapText="1"/>
    </xf>
    <xf numFmtId="167" fontId="24" fillId="33" borderId="89" xfId="0" applyNumberFormat="1" applyFont="1" applyFill="1" applyBorder="1" applyAlignment="1" applyProtection="1">
      <alignment horizontal="center" vertical="center" wrapText="1"/>
    </xf>
    <xf numFmtId="167" fontId="24" fillId="33" borderId="92" xfId="0" applyNumberFormat="1" applyFont="1" applyFill="1" applyBorder="1" applyAlignment="1" applyProtection="1">
      <alignment horizontal="center" vertical="center" wrapText="1"/>
    </xf>
    <xf numFmtId="167" fontId="27" fillId="44" borderId="165" xfId="0" applyNumberFormat="1" applyFont="1" applyFill="1" applyBorder="1" applyAlignment="1" applyProtection="1">
      <alignment horizontal="center" vertical="center" wrapText="1"/>
    </xf>
    <xf numFmtId="167" fontId="27" fillId="44" borderId="57" xfId="0" applyNumberFormat="1" applyFont="1" applyFill="1" applyBorder="1" applyAlignment="1" applyProtection="1">
      <alignment horizontal="center" vertical="center" wrapText="1"/>
    </xf>
    <xf numFmtId="167" fontId="18" fillId="33" borderId="59" xfId="0" applyNumberFormat="1" applyFont="1" applyFill="1" applyBorder="1" applyAlignment="1" applyProtection="1">
      <alignment horizontal="center" vertical="center" wrapText="1"/>
    </xf>
    <xf numFmtId="167" fontId="18" fillId="33" borderId="58" xfId="0" applyNumberFormat="1" applyFont="1" applyFill="1" applyBorder="1" applyAlignment="1" applyProtection="1">
      <alignment horizontal="center" vertical="center" wrapText="1"/>
    </xf>
    <xf numFmtId="167" fontId="18" fillId="33" borderId="22" xfId="0" applyNumberFormat="1" applyFont="1" applyFill="1" applyBorder="1" applyAlignment="1" applyProtection="1">
      <alignment horizontal="center" vertical="center" wrapText="1"/>
    </xf>
    <xf numFmtId="167" fontId="18" fillId="33" borderId="55" xfId="0" applyNumberFormat="1" applyFont="1" applyFill="1" applyBorder="1" applyAlignment="1" applyProtection="1">
      <alignment horizontal="center" vertical="center" wrapText="1"/>
    </xf>
    <xf numFmtId="167" fontId="18" fillId="33" borderId="116" xfId="0" applyNumberFormat="1" applyFont="1" applyFill="1" applyBorder="1" applyAlignment="1" applyProtection="1">
      <alignment horizontal="center" vertical="center" wrapText="1"/>
    </xf>
    <xf numFmtId="167" fontId="18" fillId="33" borderId="11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3" fillId="15" borderId="160" xfId="0" applyFont="1" applyFill="1" applyBorder="1" applyAlignment="1" applyProtection="1">
      <alignment horizontal="center" vertical="center" wrapText="1"/>
    </xf>
    <xf numFmtId="0" fontId="13" fillId="15" borderId="161" xfId="0" applyFont="1" applyFill="1" applyBorder="1" applyAlignment="1" applyProtection="1">
      <alignment horizontal="center" vertical="center" wrapText="1"/>
    </xf>
    <xf numFmtId="0" fontId="13" fillId="15" borderId="157" xfId="0" applyFont="1" applyFill="1" applyBorder="1" applyAlignment="1" applyProtection="1">
      <alignment horizontal="center" vertical="center" wrapText="1"/>
    </xf>
    <xf numFmtId="0" fontId="13" fillId="15" borderId="158" xfId="0" applyFont="1" applyFill="1" applyBorder="1" applyAlignment="1" applyProtection="1">
      <alignment horizontal="center" vertical="center" wrapText="1"/>
    </xf>
    <xf numFmtId="0" fontId="0" fillId="0" borderId="177" xfId="0" applyFont="1" applyFill="1" applyBorder="1" applyAlignment="1" applyProtection="1">
      <alignment horizontal="center" vertical="center" wrapText="1"/>
    </xf>
    <xf numFmtId="0" fontId="0" fillId="0" borderId="178" xfId="0" applyFont="1" applyFill="1" applyBorder="1" applyAlignment="1" applyProtection="1">
      <alignment horizontal="center" vertical="center" wrapText="1"/>
    </xf>
    <xf numFmtId="0" fontId="0" fillId="0" borderId="61" xfId="0" applyFont="1" applyFill="1" applyBorder="1" applyAlignment="1" applyProtection="1">
      <alignment horizontal="center" vertical="center" wrapText="1"/>
    </xf>
    <xf numFmtId="167" fontId="22" fillId="31" borderId="149" xfId="0" applyNumberFormat="1" applyFont="1" applyFill="1" applyBorder="1" applyAlignment="1" applyProtection="1">
      <alignment horizontal="center" vertical="center"/>
    </xf>
    <xf numFmtId="0" fontId="23" fillId="0" borderId="162" xfId="0" applyFont="1" applyFill="1" applyBorder="1" applyAlignment="1" applyProtection="1">
      <alignment horizontal="center" vertical="center" wrapText="1"/>
    </xf>
    <xf numFmtId="0" fontId="23" fillId="0" borderId="110" xfId="0" applyFont="1" applyFill="1" applyBorder="1" applyAlignment="1" applyProtection="1">
      <alignment horizontal="center" vertical="center" wrapText="1"/>
    </xf>
    <xf numFmtId="0" fontId="23" fillId="0" borderId="48" xfId="0" applyFont="1" applyFill="1" applyBorder="1" applyAlignment="1" applyProtection="1">
      <alignment horizontal="center" vertical="center" wrapText="1"/>
    </xf>
    <xf numFmtId="0" fontId="0" fillId="0" borderId="159" xfId="0" applyFont="1" applyFill="1" applyBorder="1" applyAlignment="1" applyProtection="1">
      <alignment horizontal="center" vertical="center" wrapText="1"/>
    </xf>
    <xf numFmtId="0" fontId="0" fillId="0" borderId="58" xfId="0" applyFont="1" applyFill="1" applyBorder="1" applyAlignment="1" applyProtection="1">
      <alignment horizontal="center" vertical="center" wrapText="1"/>
    </xf>
    <xf numFmtId="0" fontId="0" fillId="0" borderId="154" xfId="0" applyFont="1" applyFill="1" applyBorder="1" applyAlignment="1" applyProtection="1">
      <alignment horizontal="center" vertical="center" wrapText="1"/>
    </xf>
    <xf numFmtId="167" fontId="22" fillId="31" borderId="86" xfId="0" applyNumberFormat="1" applyFont="1" applyFill="1" applyBorder="1" applyAlignment="1" applyProtection="1">
      <alignment horizontal="right" vertical="center"/>
    </xf>
    <xf numFmtId="167" fontId="22" fillId="31" borderId="149" xfId="0" applyNumberFormat="1" applyFont="1" applyFill="1" applyBorder="1" applyAlignment="1" applyProtection="1">
      <alignment horizontal="right" vertical="center"/>
    </xf>
    <xf numFmtId="0" fontId="23" fillId="43" borderId="162" xfId="0" applyFont="1" applyFill="1" applyBorder="1" applyAlignment="1" applyProtection="1">
      <alignment horizontal="center" vertical="center" wrapText="1"/>
    </xf>
    <xf numFmtId="0" fontId="23" fillId="43" borderId="110" xfId="0" applyFont="1" applyFill="1" applyBorder="1" applyAlignment="1" applyProtection="1">
      <alignment horizontal="center" vertical="center" wrapText="1"/>
    </xf>
    <xf numFmtId="0" fontId="23" fillId="43" borderId="48" xfId="0" applyFont="1" applyFill="1" applyBorder="1" applyAlignment="1" applyProtection="1">
      <alignment horizontal="center" vertical="center" wrapText="1"/>
    </xf>
    <xf numFmtId="177" fontId="0" fillId="55" borderId="183" xfId="13" applyNumberFormat="1" applyFont="1" applyFill="1" applyBorder="1" applyAlignment="1">
      <alignment horizontal="center" vertical="center"/>
    </xf>
    <xf numFmtId="177" fontId="0" fillId="55" borderId="237" xfId="13" applyNumberFormat="1" applyFont="1" applyFill="1" applyBorder="1" applyAlignment="1">
      <alignment horizontal="center" vertical="center"/>
    </xf>
    <xf numFmtId="177" fontId="0" fillId="55" borderId="238" xfId="13" applyNumberFormat="1" applyFont="1" applyFill="1" applyBorder="1" applyAlignment="1">
      <alignment horizontal="center" vertical="center"/>
    </xf>
    <xf numFmtId="167" fontId="24" fillId="33" borderId="164" xfId="0" applyNumberFormat="1" applyFont="1" applyFill="1" applyBorder="1" applyAlignment="1" applyProtection="1">
      <alignment horizontal="center" vertical="center" wrapText="1"/>
    </xf>
    <xf numFmtId="167" fontId="24" fillId="33" borderId="241" xfId="0" applyNumberFormat="1" applyFont="1" applyFill="1" applyBorder="1" applyAlignment="1" applyProtection="1">
      <alignment horizontal="center" vertical="center" wrapText="1"/>
    </xf>
    <xf numFmtId="167" fontId="24" fillId="33" borderId="245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167" fontId="13" fillId="15" borderId="181" xfId="0" applyNumberFormat="1" applyFont="1" applyFill="1" applyBorder="1" applyAlignment="1" applyProtection="1">
      <alignment horizontal="center" vertical="center" wrapText="1"/>
    </xf>
    <xf numFmtId="167" fontId="13" fillId="15" borderId="243" xfId="0" applyNumberFormat="1" applyFont="1" applyFill="1" applyBorder="1" applyAlignment="1" applyProtection="1">
      <alignment horizontal="center" vertical="center" wrapText="1"/>
    </xf>
    <xf numFmtId="167" fontId="13" fillId="15" borderId="244" xfId="0" applyNumberFormat="1" applyFont="1" applyFill="1" applyBorder="1" applyAlignment="1" applyProtection="1">
      <alignment horizontal="center" vertical="center" wrapText="1"/>
    </xf>
    <xf numFmtId="0" fontId="22" fillId="45" borderId="214" xfId="0" applyFont="1" applyFill="1" applyBorder="1" applyAlignment="1" applyProtection="1">
      <alignment horizontal="center" vertical="center" wrapText="1"/>
    </xf>
    <xf numFmtId="0" fontId="22" fillId="45" borderId="132" xfId="0" applyFont="1" applyFill="1" applyBorder="1" applyAlignment="1" applyProtection="1">
      <alignment horizontal="center" vertical="center" wrapText="1"/>
    </xf>
    <xf numFmtId="0" fontId="22" fillId="45" borderId="106" xfId="0" applyFont="1" applyFill="1" applyBorder="1" applyAlignment="1" applyProtection="1">
      <alignment horizontal="center" vertical="center" wrapText="1"/>
    </xf>
    <xf numFmtId="0" fontId="22" fillId="43" borderId="181" xfId="0" applyFont="1" applyFill="1" applyBorder="1" applyAlignment="1">
      <alignment horizontal="center" vertical="center" wrapText="1"/>
    </xf>
    <xf numFmtId="0" fontId="22" fillId="43" borderId="114" xfId="0" applyFont="1" applyFill="1" applyBorder="1" applyAlignment="1">
      <alignment horizontal="center" vertical="center" wrapText="1"/>
    </xf>
    <xf numFmtId="0" fontId="22" fillId="43" borderId="182" xfId="0" applyFont="1" applyFill="1" applyBorder="1" applyAlignment="1">
      <alignment horizontal="center" vertical="center" wrapText="1"/>
    </xf>
    <xf numFmtId="0" fontId="22" fillId="0" borderId="108" xfId="0" applyFont="1" applyFill="1" applyBorder="1" applyAlignment="1" applyProtection="1">
      <alignment horizontal="center" vertical="center" wrapText="1"/>
    </xf>
    <xf numFmtId="0" fontId="22" fillId="0" borderId="43" xfId="0" applyFont="1" applyFill="1" applyBorder="1" applyAlignment="1" applyProtection="1">
      <alignment horizontal="center" vertical="center" wrapText="1"/>
    </xf>
    <xf numFmtId="0" fontId="22" fillId="0" borderId="109" xfId="0" applyFont="1" applyFill="1" applyBorder="1" applyAlignment="1" applyProtection="1">
      <alignment horizontal="center" vertical="center" wrapText="1"/>
    </xf>
    <xf numFmtId="0" fontId="23" fillId="13" borderId="127" xfId="0" applyFont="1" applyFill="1" applyBorder="1" applyAlignment="1" applyProtection="1">
      <alignment horizontal="center" vertical="center"/>
      <protection locked="0"/>
    </xf>
    <xf numFmtId="0" fontId="23" fillId="13" borderId="128" xfId="0" applyFont="1" applyFill="1" applyBorder="1" applyAlignment="1" applyProtection="1">
      <alignment horizontal="center" vertical="center"/>
      <protection locked="0"/>
    </xf>
    <xf numFmtId="167" fontId="24" fillId="33" borderId="256" xfId="0" applyNumberFormat="1" applyFont="1" applyFill="1" applyBorder="1" applyAlignment="1" applyProtection="1">
      <alignment horizontal="center" vertical="center" wrapText="1"/>
    </xf>
    <xf numFmtId="167" fontId="24" fillId="33" borderId="257" xfId="0" applyNumberFormat="1" applyFont="1" applyFill="1" applyBorder="1" applyAlignment="1" applyProtection="1">
      <alignment horizontal="center" vertical="center" wrapText="1"/>
    </xf>
    <xf numFmtId="167" fontId="24" fillId="33" borderId="254" xfId="0" applyNumberFormat="1" applyFont="1" applyFill="1" applyBorder="1" applyAlignment="1" applyProtection="1">
      <alignment horizontal="center" vertical="center" wrapText="1"/>
    </xf>
    <xf numFmtId="0" fontId="23" fillId="16" borderId="233" xfId="0" applyFont="1" applyFill="1" applyBorder="1" applyAlignment="1" applyProtection="1">
      <alignment horizontal="center" vertical="center" wrapText="1"/>
    </xf>
    <xf numFmtId="0" fontId="23" fillId="16" borderId="236" xfId="0" applyFont="1" applyFill="1" applyBorder="1" applyAlignment="1" applyProtection="1">
      <alignment horizontal="center" vertical="center" wrapText="1"/>
    </xf>
    <xf numFmtId="167" fontId="24" fillId="33" borderId="240" xfId="0" applyNumberFormat="1" applyFont="1" applyFill="1" applyBorder="1" applyAlignment="1" applyProtection="1">
      <alignment horizontal="center" vertical="center" wrapText="1"/>
    </xf>
    <xf numFmtId="167" fontId="24" fillId="33" borderId="242" xfId="0" applyNumberFormat="1" applyFont="1" applyFill="1" applyBorder="1" applyAlignment="1" applyProtection="1">
      <alignment horizontal="center" vertical="center" wrapText="1"/>
    </xf>
    <xf numFmtId="0" fontId="23" fillId="15" borderId="23" xfId="0" applyFont="1" applyFill="1" applyBorder="1" applyAlignment="1" applyProtection="1">
      <alignment horizontal="center" vertical="center" wrapText="1"/>
    </xf>
    <xf numFmtId="0" fontId="23" fillId="15" borderId="46" xfId="0" applyFont="1" applyFill="1" applyBorder="1" applyAlignment="1" applyProtection="1">
      <alignment horizontal="center" vertical="center" wrapText="1"/>
    </xf>
    <xf numFmtId="0" fontId="23" fillId="16" borderId="218" xfId="0" applyFont="1" applyFill="1" applyBorder="1" applyAlignment="1" applyProtection="1">
      <alignment horizontal="center" vertical="center" wrapText="1"/>
    </xf>
    <xf numFmtId="0" fontId="23" fillId="16" borderId="16" xfId="0" applyFont="1" applyFill="1" applyBorder="1" applyAlignment="1" applyProtection="1">
      <alignment horizontal="center" vertical="center" wrapText="1"/>
    </xf>
    <xf numFmtId="0" fontId="23" fillId="15" borderId="129" xfId="0" applyFont="1" applyFill="1" applyBorder="1" applyAlignment="1" applyProtection="1">
      <alignment horizontal="center" vertical="center" wrapText="1"/>
    </xf>
    <xf numFmtId="0" fontId="23" fillId="15" borderId="112" xfId="0" applyFont="1" applyFill="1" applyBorder="1" applyAlignment="1" applyProtection="1">
      <alignment horizontal="center" vertical="center" wrapText="1"/>
    </xf>
    <xf numFmtId="0" fontId="22" fillId="45" borderId="81" xfId="0" applyFont="1" applyFill="1" applyBorder="1" applyAlignment="1" applyProtection="1">
      <alignment horizontal="center" vertical="center" wrapText="1"/>
    </xf>
    <xf numFmtId="0" fontId="22" fillId="45" borderId="51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0" fontId="34" fillId="50" borderId="230" xfId="0" applyFont="1" applyFill="1" applyBorder="1" applyAlignment="1" applyProtection="1">
      <alignment horizontal="center" vertical="center" wrapText="1"/>
    </xf>
    <xf numFmtId="0" fontId="34" fillId="50" borderId="231" xfId="0" applyFont="1" applyFill="1" applyBorder="1" applyAlignment="1" applyProtection="1">
      <alignment horizontal="center" vertical="center" wrapText="1"/>
    </xf>
    <xf numFmtId="0" fontId="35" fillId="36" borderId="225" xfId="0" applyFont="1" applyFill="1" applyBorder="1" applyAlignment="1" applyProtection="1">
      <alignment horizontal="center" vertical="center"/>
    </xf>
    <xf numFmtId="0" fontId="35" fillId="36" borderId="155" xfId="0" applyFont="1" applyFill="1" applyBorder="1" applyAlignment="1" applyProtection="1">
      <alignment horizontal="center" vertical="center"/>
    </xf>
    <xf numFmtId="0" fontId="23" fillId="12" borderId="27" xfId="0" applyFont="1" applyFill="1" applyBorder="1" applyAlignment="1" applyProtection="1">
      <alignment horizontal="center" vertical="center"/>
      <protection locked="0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0" fontId="11" fillId="17" borderId="101" xfId="0" applyFont="1" applyFill="1" applyBorder="1" applyAlignment="1" applyProtection="1">
      <alignment horizontal="center" vertical="center"/>
    </xf>
    <xf numFmtId="0" fontId="11" fillId="16" borderId="101" xfId="0" applyFont="1" applyFill="1" applyBorder="1" applyAlignment="1" applyProtection="1">
      <alignment horizontal="center" vertical="center" wrapText="1"/>
    </xf>
    <xf numFmtId="165" fontId="13" fillId="18" borderId="136" xfId="13" applyFont="1" applyFill="1" applyBorder="1" applyAlignment="1" applyProtection="1">
      <alignment horizontal="center" vertical="center" wrapText="1"/>
    </xf>
    <xf numFmtId="165" fontId="13" fillId="18" borderId="58" xfId="13" applyFont="1" applyFill="1" applyBorder="1" applyAlignment="1" applyProtection="1">
      <alignment horizontal="center" vertical="center" wrapText="1"/>
    </xf>
    <xf numFmtId="0" fontId="11" fillId="16" borderId="7" xfId="0" applyFont="1" applyFill="1" applyBorder="1" applyAlignment="1" applyProtection="1">
      <alignment horizontal="center" vertical="center"/>
    </xf>
    <xf numFmtId="0" fontId="11" fillId="16" borderId="5" xfId="0" applyFont="1" applyFill="1" applyBorder="1" applyAlignment="1" applyProtection="1">
      <alignment horizontal="center" vertical="center"/>
    </xf>
    <xf numFmtId="0" fontId="11" fillId="15" borderId="98" xfId="0" applyFont="1" applyFill="1" applyBorder="1" applyAlignment="1" applyProtection="1">
      <alignment horizontal="center" vertical="center"/>
    </xf>
    <xf numFmtId="0" fontId="11" fillId="15" borderId="140" xfId="0" applyFont="1" applyFill="1" applyBorder="1" applyAlignment="1" applyProtection="1">
      <alignment horizontal="center" vertical="center"/>
    </xf>
    <xf numFmtId="0" fontId="13" fillId="17" borderId="7" xfId="0" applyFont="1" applyFill="1" applyBorder="1" applyAlignment="1" applyProtection="1">
      <alignment horizontal="center" vertical="center"/>
    </xf>
    <xf numFmtId="0" fontId="13" fillId="17" borderId="12" xfId="0" applyFont="1" applyFill="1" applyBorder="1" applyAlignment="1" applyProtection="1">
      <alignment horizontal="center" vertical="center"/>
    </xf>
    <xf numFmtId="0" fontId="23" fillId="1" borderId="217" xfId="0" applyFont="1" applyFill="1" applyBorder="1" applyAlignment="1" applyProtection="1">
      <alignment horizontal="center" vertical="center" wrapText="1"/>
    </xf>
    <xf numFmtId="0" fontId="23" fillId="1" borderId="110" xfId="0" applyFont="1" applyFill="1" applyBorder="1" applyAlignment="1" applyProtection="1">
      <alignment horizontal="center" vertical="center" wrapText="1"/>
    </xf>
    <xf numFmtId="0" fontId="23" fillId="1" borderId="48" xfId="0" applyFont="1" applyFill="1" applyBorder="1" applyAlignment="1" applyProtection="1">
      <alignment horizontal="center" vertical="center" wrapText="1"/>
    </xf>
    <xf numFmtId="0" fontId="23" fillId="0" borderId="217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wrapText="1"/>
    </xf>
    <xf numFmtId="0" fontId="13" fillId="17" borderId="20" xfId="0" applyFont="1" applyFill="1" applyBorder="1" applyAlignment="1" applyProtection="1">
      <alignment horizontal="center" vertical="center" wrapText="1"/>
    </xf>
    <xf numFmtId="0" fontId="13" fillId="17" borderId="83" xfId="0" applyFont="1" applyFill="1" applyBorder="1" applyAlignment="1" applyProtection="1">
      <alignment horizontal="center" vertical="center" wrapText="1"/>
    </xf>
    <xf numFmtId="0" fontId="11" fillId="15" borderId="20" xfId="0" applyFont="1" applyFill="1" applyBorder="1" applyAlignment="1" applyProtection="1">
      <alignment horizontal="center" vertical="center" wrapText="1"/>
    </xf>
    <xf numFmtId="0" fontId="11" fillId="15" borderId="83" xfId="0" applyFont="1" applyFill="1" applyBorder="1" applyAlignment="1" applyProtection="1">
      <alignment horizontal="center" vertical="center" wrapText="1"/>
    </xf>
    <xf numFmtId="0" fontId="18" fillId="14" borderId="108" xfId="0" applyFont="1" applyFill="1" applyBorder="1" applyAlignment="1" applyProtection="1">
      <alignment horizontal="center" vertical="center"/>
    </xf>
    <xf numFmtId="0" fontId="18" fillId="14" borderId="79" xfId="0" applyFont="1" applyFill="1" applyBorder="1" applyAlignment="1" applyProtection="1">
      <alignment horizontal="center" vertical="center"/>
    </xf>
    <xf numFmtId="0" fontId="13" fillId="26" borderId="42" xfId="0" applyFont="1" applyFill="1" applyBorder="1" applyAlignment="1" applyProtection="1">
      <alignment horizontal="center" vertical="center" wrapText="1"/>
    </xf>
    <xf numFmtId="0" fontId="13" fillId="26" borderId="110" xfId="0" applyFont="1" applyFill="1" applyBorder="1" applyAlignment="1" applyProtection="1">
      <alignment horizontal="center" vertical="center" wrapText="1"/>
    </xf>
    <xf numFmtId="0" fontId="18" fillId="14" borderId="117" xfId="0" applyFont="1" applyFill="1" applyBorder="1" applyAlignment="1" applyProtection="1">
      <alignment horizontal="center" vertical="center"/>
    </xf>
    <xf numFmtId="0" fontId="18" fillId="47" borderId="108" xfId="0" applyFont="1" applyFill="1" applyBorder="1" applyAlignment="1" applyProtection="1">
      <alignment horizontal="center" vertical="center"/>
    </xf>
    <xf numFmtId="0" fontId="18" fillId="47" borderId="79" xfId="0" applyFont="1" applyFill="1" applyBorder="1" applyAlignment="1" applyProtection="1">
      <alignment horizontal="center" vertical="center"/>
    </xf>
    <xf numFmtId="0" fontId="18" fillId="46" borderId="117" xfId="0" applyFont="1" applyFill="1" applyBorder="1" applyAlignment="1" applyProtection="1">
      <alignment horizontal="center" vertical="center"/>
    </xf>
    <xf numFmtId="0" fontId="18" fillId="46" borderId="261" xfId="0" applyFont="1" applyFill="1" applyBorder="1" applyAlignment="1" applyProtection="1">
      <alignment horizontal="center" vertical="center"/>
    </xf>
    <xf numFmtId="0" fontId="13" fillId="16" borderId="35" xfId="0" applyFont="1" applyFill="1" applyBorder="1" applyAlignment="1" applyProtection="1">
      <alignment horizontal="center" vertical="center" wrapText="1"/>
    </xf>
    <xf numFmtId="0" fontId="13" fillId="16" borderId="39" xfId="0" applyFont="1" applyFill="1" applyBorder="1" applyAlignment="1" applyProtection="1">
      <alignment horizontal="center" vertical="center" wrapText="1"/>
    </xf>
    <xf numFmtId="0" fontId="13" fillId="16" borderId="43" xfId="0" applyFont="1" applyFill="1" applyBorder="1" applyAlignment="1" applyProtection="1">
      <alignment horizontal="center" vertical="center" wrapText="1"/>
    </xf>
    <xf numFmtId="0" fontId="13" fillId="16" borderId="147" xfId="0" applyFont="1" applyFill="1" applyBorder="1" applyAlignment="1" applyProtection="1">
      <alignment horizontal="center" vertical="center" wrapText="1"/>
    </xf>
    <xf numFmtId="0" fontId="13" fillId="16" borderId="33" xfId="0" applyFont="1" applyFill="1" applyBorder="1" applyAlignment="1" applyProtection="1">
      <alignment horizontal="center" vertical="center"/>
    </xf>
    <xf numFmtId="0" fontId="13" fillId="16" borderId="142" xfId="0" applyFont="1" applyFill="1" applyBorder="1" applyAlignment="1" applyProtection="1">
      <alignment horizontal="center" vertical="center"/>
    </xf>
    <xf numFmtId="0" fontId="13" fillId="16" borderId="33" xfId="0" applyFont="1" applyFill="1" applyBorder="1" applyAlignment="1" applyProtection="1">
      <alignment horizontal="center" vertical="center" wrapText="1"/>
    </xf>
    <xf numFmtId="0" fontId="13" fillId="16" borderId="142" xfId="0" applyFont="1" applyFill="1" applyBorder="1" applyAlignment="1" applyProtection="1">
      <alignment horizontal="center" vertical="center" wrapText="1"/>
    </xf>
    <xf numFmtId="0" fontId="22" fillId="16" borderId="34" xfId="0" applyFont="1" applyFill="1" applyBorder="1" applyAlignment="1" applyProtection="1">
      <alignment horizontal="center" vertical="center" wrapText="1"/>
    </xf>
    <xf numFmtId="0" fontId="22" fillId="16" borderId="40" xfId="0" applyFont="1" applyFill="1" applyBorder="1" applyAlignment="1" applyProtection="1">
      <alignment horizontal="center" vertical="center" wrapText="1"/>
    </xf>
    <xf numFmtId="0" fontId="22" fillId="16" borderId="4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3" fillId="46" borderId="68" xfId="0" applyFont="1" applyFill="1" applyBorder="1" applyAlignment="1" applyProtection="1">
      <alignment horizontal="center" vertical="center" textRotation="90" wrapText="1"/>
    </xf>
    <xf numFmtId="0" fontId="23" fillId="46" borderId="70" xfId="0" applyFont="1" applyFill="1" applyBorder="1" applyAlignment="1" applyProtection="1">
      <alignment horizontal="center" vertical="center" textRotation="90" wrapText="1"/>
    </xf>
    <xf numFmtId="0" fontId="23" fillId="46" borderId="48" xfId="0" applyFont="1" applyFill="1" applyBorder="1" applyAlignment="1" applyProtection="1">
      <alignment horizontal="center" vertical="center" textRotation="90" wrapText="1"/>
    </xf>
    <xf numFmtId="0" fontId="23" fillId="46" borderId="68" xfId="0" applyFont="1" applyFill="1" applyBorder="1" applyAlignment="1" applyProtection="1">
      <alignment horizontal="left" vertical="center" wrapText="1"/>
    </xf>
    <xf numFmtId="0" fontId="23" fillId="46" borderId="70" xfId="0" applyFont="1" applyFill="1" applyBorder="1" applyAlignment="1" applyProtection="1">
      <alignment horizontal="left" vertical="center" wrapText="1"/>
    </xf>
    <xf numFmtId="0" fontId="23" fillId="46" borderId="48" xfId="0" applyFont="1" applyFill="1" applyBorder="1" applyAlignment="1" applyProtection="1">
      <alignment horizontal="left" vertical="center" wrapText="1"/>
    </xf>
    <xf numFmtId="0" fontId="26" fillId="46" borderId="73" xfId="0" applyFont="1" applyFill="1" applyBorder="1" applyAlignment="1" applyProtection="1">
      <alignment horizontal="center" vertical="center" textRotation="90" wrapText="1"/>
    </xf>
    <xf numFmtId="0" fontId="26" fillId="46" borderId="60" xfId="0" applyFont="1" applyFill="1" applyBorder="1" applyAlignment="1" applyProtection="1">
      <alignment horizontal="center" vertical="center" textRotation="90" wrapText="1"/>
    </xf>
    <xf numFmtId="0" fontId="26" fillId="46" borderId="56" xfId="0" applyFont="1" applyFill="1" applyBorder="1" applyAlignment="1" applyProtection="1">
      <alignment horizontal="center" vertical="center" textRotation="90" wrapText="1"/>
    </xf>
    <xf numFmtId="0" fontId="23" fillId="12" borderId="129" xfId="0" applyFont="1" applyFill="1" applyBorder="1" applyAlignment="1" applyProtection="1">
      <alignment horizontal="left" vertical="center" wrapText="1"/>
      <protection locked="0"/>
    </xf>
    <xf numFmtId="0" fontId="23" fillId="12" borderId="130" xfId="0" applyFont="1" applyFill="1" applyBorder="1" applyAlignment="1" applyProtection="1">
      <alignment horizontal="left" vertical="center" wrapText="1"/>
      <protection locked="0"/>
    </xf>
    <xf numFmtId="0" fontId="23" fillId="12" borderId="131" xfId="0" applyFont="1" applyFill="1" applyBorder="1" applyAlignment="1" applyProtection="1">
      <alignment horizontal="left" vertical="center" wrapText="1"/>
      <protection locked="0"/>
    </xf>
    <xf numFmtId="0" fontId="23" fillId="12" borderId="74" xfId="0" applyFont="1" applyFill="1" applyBorder="1" applyAlignment="1" applyProtection="1">
      <alignment horizontal="left" vertical="center" wrapText="1"/>
      <protection locked="0"/>
    </xf>
    <xf numFmtId="0" fontId="23" fillId="12" borderId="75" xfId="0" applyFont="1" applyFill="1" applyBorder="1" applyAlignment="1" applyProtection="1">
      <alignment horizontal="left" vertical="center" wrapText="1"/>
      <protection locked="0"/>
    </xf>
    <xf numFmtId="0" fontId="23" fillId="12" borderId="72" xfId="0" applyFont="1" applyFill="1" applyBorder="1" applyAlignment="1" applyProtection="1">
      <alignment horizontal="left" vertical="center" wrapText="1"/>
      <protection locked="0"/>
    </xf>
    <xf numFmtId="0" fontId="23" fillId="12" borderId="68" xfId="0" applyFont="1" applyFill="1" applyBorder="1" applyAlignment="1" applyProtection="1">
      <alignment horizontal="left" vertical="center" wrapText="1"/>
      <protection locked="0"/>
    </xf>
    <xf numFmtId="0" fontId="23" fillId="12" borderId="110" xfId="0" applyFont="1" applyFill="1" applyBorder="1" applyAlignment="1" applyProtection="1">
      <alignment horizontal="left" vertical="center" wrapText="1"/>
      <protection locked="0"/>
    </xf>
    <xf numFmtId="0" fontId="23" fillId="12" borderId="70" xfId="0" applyFont="1" applyFill="1" applyBorder="1" applyAlignment="1" applyProtection="1">
      <alignment horizontal="left" vertical="center" wrapText="1"/>
      <protection locked="0"/>
    </xf>
    <xf numFmtId="0" fontId="23" fillId="12" borderId="48" xfId="0" applyFont="1" applyFill="1" applyBorder="1" applyAlignment="1" applyProtection="1">
      <alignment horizontal="left" vertical="center" wrapText="1"/>
      <protection locked="0"/>
    </xf>
    <xf numFmtId="0" fontId="13" fillId="16" borderId="262" xfId="0" applyFont="1" applyFill="1" applyBorder="1" applyAlignment="1" applyProtection="1">
      <alignment horizontal="center" vertical="center" wrapText="1"/>
    </xf>
    <xf numFmtId="0" fontId="13" fillId="16" borderId="48" xfId="0" applyFont="1" applyFill="1" applyBorder="1" applyAlignment="1" applyProtection="1">
      <alignment horizontal="center" vertical="center" wrapText="1"/>
    </xf>
    <xf numFmtId="0" fontId="11" fillId="16" borderId="65" xfId="0" applyFont="1" applyFill="1" applyBorder="1" applyAlignment="1" applyProtection="1">
      <alignment horizontal="center" vertical="center" wrapText="1"/>
    </xf>
    <xf numFmtId="0" fontId="18" fillId="46" borderId="108" xfId="0" applyFont="1" applyFill="1" applyBorder="1" applyAlignment="1" applyProtection="1">
      <alignment horizontal="center" vertical="center"/>
    </xf>
    <xf numFmtId="0" fontId="18" fillId="46" borderId="79" xfId="0" applyFont="1" applyFill="1" applyBorder="1" applyAlignment="1" applyProtection="1">
      <alignment horizontal="center" vertical="center"/>
    </xf>
    <xf numFmtId="0" fontId="10" fillId="14" borderId="109" xfId="0" applyFont="1" applyFill="1" applyBorder="1" applyAlignment="1" applyProtection="1">
      <alignment horizontal="center" vertical="center"/>
    </xf>
    <xf numFmtId="0" fontId="10" fillId="14" borderId="120" xfId="0" applyFont="1" applyFill="1" applyBorder="1" applyAlignment="1" applyProtection="1">
      <alignment horizontal="center" vertical="center"/>
    </xf>
    <xf numFmtId="0" fontId="18" fillId="14" borderId="78" xfId="0" applyFont="1" applyFill="1" applyBorder="1" applyAlignment="1" applyProtection="1">
      <alignment horizontal="center" vertical="center"/>
    </xf>
    <xf numFmtId="0" fontId="18" fillId="14" borderId="69" xfId="0" applyFont="1" applyFill="1" applyBorder="1" applyAlignment="1" applyProtection="1">
      <alignment horizontal="center" vertical="center"/>
    </xf>
    <xf numFmtId="0" fontId="18" fillId="47" borderId="78" xfId="0" applyFont="1" applyFill="1" applyBorder="1" applyAlignment="1" applyProtection="1">
      <alignment horizontal="center" vertical="center"/>
    </xf>
    <xf numFmtId="0" fontId="18" fillId="47" borderId="100" xfId="0" applyFont="1" applyFill="1" applyBorder="1" applyAlignment="1" applyProtection="1">
      <alignment horizontal="center" vertical="center"/>
    </xf>
    <xf numFmtId="0" fontId="18" fillId="46" borderId="80" xfId="0" applyFont="1" applyFill="1" applyBorder="1" applyAlignment="1" applyProtection="1">
      <alignment horizontal="center" vertical="center"/>
    </xf>
    <xf numFmtId="0" fontId="18" fillId="46" borderId="100" xfId="0" applyFont="1" applyFill="1" applyBorder="1" applyAlignment="1" applyProtection="1">
      <alignment horizontal="center" vertical="center"/>
    </xf>
    <xf numFmtId="176" fontId="0" fillId="26" borderId="108" xfId="0" applyNumberFormat="1" applyFont="1" applyFill="1" applyBorder="1" applyAlignment="1" applyProtection="1">
      <alignment horizontal="center" vertical="center"/>
    </xf>
    <xf numFmtId="176" fontId="0" fillId="26" borderId="79" xfId="0" applyNumberFormat="1" applyFont="1" applyFill="1" applyBorder="1" applyAlignment="1" applyProtection="1">
      <alignment horizontal="center" vertical="center"/>
    </xf>
    <xf numFmtId="0" fontId="10" fillId="47" borderId="109" xfId="0" applyFont="1" applyFill="1" applyBorder="1" applyAlignment="1" applyProtection="1">
      <alignment horizontal="center" vertical="center"/>
    </xf>
    <xf numFmtId="0" fontId="10" fillId="47" borderId="120" xfId="0" applyFont="1" applyFill="1" applyBorder="1" applyAlignment="1" applyProtection="1">
      <alignment horizontal="center" vertical="center"/>
    </xf>
    <xf numFmtId="0" fontId="10" fillId="46" borderId="109" xfId="0" applyFont="1" applyFill="1" applyBorder="1" applyAlignment="1" applyProtection="1">
      <alignment horizontal="center" vertical="center"/>
    </xf>
    <xf numFmtId="0" fontId="10" fillId="46" borderId="120" xfId="0" applyFont="1" applyFill="1" applyBorder="1" applyAlignment="1" applyProtection="1">
      <alignment horizontal="center" vertical="center"/>
    </xf>
    <xf numFmtId="176" fontId="0" fillId="26" borderId="80" xfId="0" applyNumberFormat="1" applyFont="1" applyFill="1" applyBorder="1" applyAlignment="1" applyProtection="1">
      <alignment horizontal="center" vertical="center"/>
    </xf>
    <xf numFmtId="0" fontId="23" fillId="43" borderId="114" xfId="0" applyFont="1" applyFill="1" applyBorder="1" applyAlignment="1" applyProtection="1">
      <alignment horizontal="left" vertical="center" wrapText="1"/>
    </xf>
    <xf numFmtId="0" fontId="23" fillId="43" borderId="182" xfId="0" applyFont="1" applyFill="1" applyBorder="1" applyAlignment="1" applyProtection="1">
      <alignment horizontal="left" vertical="center" wrapText="1"/>
    </xf>
    <xf numFmtId="0" fontId="23" fillId="0" borderId="256" xfId="0" applyFont="1" applyFill="1" applyBorder="1" applyAlignment="1" applyProtection="1">
      <alignment horizontal="left" vertical="center" wrapText="1"/>
    </xf>
    <xf numFmtId="0" fontId="23" fillId="0" borderId="114" xfId="0" applyFont="1" applyFill="1" applyBorder="1" applyAlignment="1" applyProtection="1">
      <alignment horizontal="left" vertical="center" wrapText="1"/>
    </xf>
    <xf numFmtId="0" fontId="23" fillId="0" borderId="182" xfId="0" applyFont="1" applyFill="1" applyBorder="1" applyAlignment="1" applyProtection="1">
      <alignment horizontal="left" vertical="center" wrapText="1"/>
    </xf>
    <xf numFmtId="0" fontId="23" fillId="16" borderId="257" xfId="0" applyFont="1" applyFill="1" applyBorder="1" applyAlignment="1" applyProtection="1">
      <alignment horizontal="center" vertical="center"/>
    </xf>
    <xf numFmtId="0" fontId="23" fillId="16" borderId="265" xfId="0" applyFont="1" applyFill="1" applyBorder="1" applyAlignment="1" applyProtection="1">
      <alignment horizontal="center" vertical="center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167" fontId="23" fillId="17" borderId="240" xfId="0" applyNumberFormat="1" applyFont="1" applyFill="1" applyBorder="1" applyAlignment="1" applyProtection="1">
      <alignment horizontal="center" vertical="center" wrapText="1"/>
    </xf>
    <xf numFmtId="167" fontId="23" fillId="17" borderId="241" xfId="0" applyNumberFormat="1" applyFont="1" applyFill="1" applyBorder="1" applyAlignment="1" applyProtection="1">
      <alignment horizontal="center" vertical="center" wrapText="1"/>
    </xf>
    <xf numFmtId="167" fontId="23" fillId="17" borderId="242" xfId="0" applyNumberFormat="1" applyFont="1" applyFill="1" applyBorder="1" applyAlignment="1" applyProtection="1">
      <alignment horizontal="center" vertical="center" wrapText="1"/>
    </xf>
    <xf numFmtId="0" fontId="23" fillId="16" borderId="256" xfId="0" applyFont="1" applyFill="1" applyBorder="1" applyAlignment="1" applyProtection="1">
      <alignment horizontal="center" vertical="center"/>
    </xf>
    <xf numFmtId="167" fontId="24" fillId="33" borderId="30" xfId="0" applyNumberFormat="1" applyFont="1" applyFill="1" applyBorder="1" applyAlignment="1" applyProtection="1">
      <alignment horizontal="center" vertical="center" wrapText="1"/>
    </xf>
    <xf numFmtId="167" fontId="24" fillId="33" borderId="21" xfId="0" applyNumberFormat="1" applyFont="1" applyFill="1" applyBorder="1" applyAlignment="1" applyProtection="1">
      <alignment horizontal="center" vertical="center" wrapText="1"/>
    </xf>
    <xf numFmtId="167" fontId="24" fillId="33" borderId="263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3" fillId="15" borderId="74" xfId="0" applyFont="1" applyFill="1" applyBorder="1" applyAlignment="1" applyProtection="1">
      <alignment horizontal="center" vertical="center" wrapText="1"/>
    </xf>
    <xf numFmtId="0" fontId="13" fillId="15" borderId="76" xfId="0" applyFont="1" applyFill="1" applyBorder="1" applyAlignment="1" applyProtection="1">
      <alignment horizontal="center" vertical="center" wrapText="1"/>
    </xf>
    <xf numFmtId="0" fontId="13" fillId="15" borderId="79" xfId="0" applyFont="1" applyFill="1" applyBorder="1" applyAlignment="1" applyProtection="1">
      <alignment horizontal="center" vertical="center" wrapText="1"/>
    </xf>
    <xf numFmtId="0" fontId="13" fillId="15" borderId="3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23" fillId="11" borderId="217" xfId="0" applyFont="1" applyFill="1" applyBorder="1" applyAlignment="1" applyProtection="1">
      <alignment horizontal="center" vertical="center" wrapText="1"/>
    </xf>
    <xf numFmtId="0" fontId="23" fillId="11" borderId="110" xfId="0" applyFont="1" applyFill="1" applyBorder="1" applyAlignment="1" applyProtection="1">
      <alignment horizontal="center" vertical="center" wrapText="1"/>
    </xf>
    <xf numFmtId="176" fontId="23" fillId="29" borderId="110" xfId="0" applyNumberFormat="1" applyFont="1" applyFill="1" applyBorder="1" applyAlignment="1" applyProtection="1">
      <alignment horizontal="right" vertical="center"/>
    </xf>
    <xf numFmtId="176" fontId="23" fillId="29" borderId="70" xfId="0" applyNumberFormat="1" applyFont="1" applyFill="1" applyBorder="1" applyAlignment="1" applyProtection="1">
      <alignment horizontal="right" vertical="center"/>
    </xf>
    <xf numFmtId="0" fontId="13" fillId="16" borderId="233" xfId="0" applyFont="1" applyFill="1" applyBorder="1" applyAlignment="1" applyProtection="1">
      <alignment horizontal="center" vertical="center" wrapText="1"/>
    </xf>
    <xf numFmtId="0" fontId="13" fillId="16" borderId="236" xfId="0" applyFont="1" applyFill="1" applyBorder="1" applyAlignment="1" applyProtection="1">
      <alignment horizontal="center" vertical="center" wrapText="1"/>
    </xf>
    <xf numFmtId="0" fontId="13" fillId="16" borderId="223" xfId="0" applyFont="1" applyFill="1" applyBorder="1" applyAlignment="1" applyProtection="1">
      <alignment horizontal="center" vertical="center" wrapText="1"/>
    </xf>
    <xf numFmtId="0" fontId="13" fillId="16" borderId="179" xfId="0" applyFont="1" applyFill="1" applyBorder="1" applyAlignment="1" applyProtection="1">
      <alignment horizontal="center" vertical="center" wrapText="1"/>
    </xf>
    <xf numFmtId="0" fontId="13" fillId="16" borderId="194" xfId="0" applyFont="1" applyFill="1" applyBorder="1" applyAlignment="1" applyProtection="1">
      <alignment horizontal="center" vertical="center"/>
    </xf>
    <xf numFmtId="0" fontId="13" fillId="16" borderId="194" xfId="0" applyFont="1" applyFill="1" applyBorder="1" applyAlignment="1" applyProtection="1">
      <alignment horizontal="center" vertical="center" wrapText="1"/>
    </xf>
    <xf numFmtId="0" fontId="23" fillId="66" borderId="217" xfId="0" applyFont="1" applyFill="1" applyBorder="1" applyAlignment="1" applyProtection="1">
      <alignment horizontal="center" vertical="center" wrapText="1"/>
    </xf>
    <xf numFmtId="0" fontId="23" fillId="66" borderId="110" xfId="0" applyFont="1" applyFill="1" applyBorder="1" applyAlignment="1" applyProtection="1">
      <alignment horizontal="center" vertical="center" wrapText="1"/>
    </xf>
    <xf numFmtId="0" fontId="23" fillId="66" borderId="48" xfId="0" applyFont="1" applyFill="1" applyBorder="1" applyAlignment="1" applyProtection="1">
      <alignment horizontal="center" vertical="center" wrapText="1"/>
    </xf>
    <xf numFmtId="176" fontId="23" fillId="71" borderId="217" xfId="0" applyNumberFormat="1" applyFont="1" applyFill="1" applyBorder="1" applyAlignment="1" applyProtection="1">
      <alignment horizontal="right" vertical="center"/>
    </xf>
    <xf numFmtId="176" fontId="23" fillId="71" borderId="110" xfId="0" applyNumberFormat="1" applyFont="1" applyFill="1" applyBorder="1" applyAlignment="1" applyProtection="1">
      <alignment horizontal="right" vertical="center"/>
    </xf>
    <xf numFmtId="176" fontId="23" fillId="71" borderId="48" xfId="0" applyNumberFormat="1" applyFont="1" applyFill="1" applyBorder="1" applyAlignment="1" applyProtection="1">
      <alignment horizontal="right" vertical="center"/>
    </xf>
    <xf numFmtId="0" fontId="23" fillId="43" borderId="217" xfId="0" applyFont="1" applyFill="1" applyBorder="1" applyAlignment="1" applyProtection="1">
      <alignment horizontal="center" vertical="center" wrapText="1"/>
    </xf>
    <xf numFmtId="176" fontId="23" fillId="29" borderId="180" xfId="0" applyNumberFormat="1" applyFont="1" applyFill="1" applyBorder="1" applyAlignment="1" applyProtection="1">
      <alignment horizontal="right" vertical="center"/>
    </xf>
    <xf numFmtId="176" fontId="23" fillId="29" borderId="48" xfId="0" applyNumberFormat="1" applyFont="1" applyFill="1" applyBorder="1" applyAlignment="1" applyProtection="1">
      <alignment horizontal="right" vertical="center"/>
    </xf>
    <xf numFmtId="0" fontId="13" fillId="27" borderId="233" xfId="0" applyFont="1" applyFill="1" applyBorder="1" applyAlignment="1" applyProtection="1">
      <alignment horizontal="center" vertical="center" wrapText="1"/>
    </xf>
    <xf numFmtId="0" fontId="13" fillId="27" borderId="97" xfId="0" applyFont="1" applyFill="1" applyBorder="1" applyAlignment="1" applyProtection="1">
      <alignment horizontal="center" vertical="center" wrapText="1"/>
    </xf>
    <xf numFmtId="0" fontId="13" fillId="27" borderId="129" xfId="0" applyFont="1" applyFill="1" applyBorder="1" applyAlignment="1" applyProtection="1">
      <alignment horizontal="center" vertical="center" wrapText="1"/>
    </xf>
    <xf numFmtId="0" fontId="13" fillId="27" borderId="131" xfId="0" applyFont="1" applyFill="1" applyBorder="1" applyAlignment="1" applyProtection="1">
      <alignment horizontal="center" vertical="center" wrapText="1"/>
    </xf>
    <xf numFmtId="0" fontId="13" fillId="16" borderId="214" xfId="0" applyFont="1" applyFill="1" applyBorder="1" applyAlignment="1" applyProtection="1">
      <alignment horizontal="center" vertical="center" wrapText="1"/>
    </xf>
    <xf numFmtId="0" fontId="13" fillId="16" borderId="106" xfId="0" applyFont="1" applyFill="1" applyBorder="1" applyAlignment="1" applyProtection="1">
      <alignment horizontal="center" vertical="center" wrapText="1"/>
    </xf>
    <xf numFmtId="0" fontId="13" fillId="27" borderId="215" xfId="0" applyFont="1" applyFill="1" applyBorder="1" applyAlignment="1" applyProtection="1">
      <alignment horizontal="center" vertical="center" wrapText="1"/>
    </xf>
    <xf numFmtId="0" fontId="13" fillId="27" borderId="104" xfId="0" applyFont="1" applyFill="1" applyBorder="1" applyAlignment="1" applyProtection="1">
      <alignment horizontal="center" vertical="center" wrapText="1"/>
    </xf>
    <xf numFmtId="0" fontId="13" fillId="16" borderId="215" xfId="0" applyFont="1" applyFill="1" applyBorder="1" applyAlignment="1" applyProtection="1">
      <alignment horizontal="center" vertical="center" wrapText="1"/>
    </xf>
    <xf numFmtId="0" fontId="13" fillId="16" borderId="104" xfId="0" applyFont="1" applyFill="1" applyBorder="1" applyAlignment="1" applyProtection="1">
      <alignment horizontal="center" vertical="center" wrapText="1"/>
    </xf>
    <xf numFmtId="0" fontId="22" fillId="0" borderId="190" xfId="0" applyFont="1" applyFill="1" applyBorder="1" applyAlignment="1" applyProtection="1">
      <alignment horizontal="center" vertical="center" wrapText="1"/>
    </xf>
    <xf numFmtId="0" fontId="22" fillId="0" borderId="191" xfId="0" applyFont="1" applyFill="1" applyBorder="1" applyAlignment="1" applyProtection="1">
      <alignment horizontal="center" vertical="center" wrapText="1"/>
    </xf>
    <xf numFmtId="0" fontId="22" fillId="0" borderId="192" xfId="0" applyFont="1" applyFill="1" applyBorder="1" applyAlignment="1" applyProtection="1">
      <alignment horizontal="center" vertical="center" wrapText="1"/>
    </xf>
    <xf numFmtId="0" fontId="13" fillId="16" borderId="95" xfId="0" applyFont="1" applyFill="1" applyBorder="1" applyAlignment="1" applyProtection="1">
      <alignment horizontal="center" vertical="center" wrapText="1"/>
    </xf>
    <xf numFmtId="0" fontId="13" fillId="16" borderId="96" xfId="0" applyFont="1" applyFill="1" applyBorder="1" applyAlignment="1" applyProtection="1">
      <alignment horizontal="center" vertical="center" wrapText="1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3" fillId="12" borderId="9" xfId="0" applyFont="1" applyFill="1" applyBorder="1" applyAlignment="1" applyProtection="1">
      <alignment horizontal="center" vertical="center"/>
      <protection locked="0"/>
    </xf>
    <xf numFmtId="0" fontId="13" fillId="16" borderId="135" xfId="0" applyFont="1" applyFill="1" applyBorder="1" applyAlignment="1" applyProtection="1">
      <alignment horizontal="center" vertical="center"/>
    </xf>
    <xf numFmtId="0" fontId="13" fillId="16" borderId="94" xfId="0" applyFont="1" applyFill="1" applyBorder="1" applyAlignment="1" applyProtection="1">
      <alignment horizontal="center" vertical="center"/>
    </xf>
    <xf numFmtId="0" fontId="23" fillId="15" borderId="87" xfId="0" applyFont="1" applyFill="1" applyBorder="1" applyAlignment="1" applyProtection="1">
      <alignment horizontal="center" vertical="center" wrapText="1"/>
    </xf>
    <xf numFmtId="0" fontId="23" fillId="15" borderId="184" xfId="0" applyFont="1" applyFill="1" applyBorder="1" applyAlignment="1" applyProtection="1">
      <alignment horizontal="center" vertical="center" wrapText="1"/>
    </xf>
    <xf numFmtId="0" fontId="23" fillId="15" borderId="91" xfId="0" applyFont="1" applyFill="1" applyBorder="1" applyAlignment="1" applyProtection="1">
      <alignment horizontal="center" vertical="center" wrapText="1"/>
    </xf>
    <xf numFmtId="0" fontId="23" fillId="15" borderId="193" xfId="0" applyFont="1" applyFill="1" applyBorder="1" applyAlignment="1" applyProtection="1">
      <alignment horizontal="center" vertical="center" wrapText="1"/>
    </xf>
    <xf numFmtId="0" fontId="13" fillId="16" borderId="137" xfId="0" applyFont="1" applyFill="1" applyBorder="1" applyAlignment="1" applyProtection="1">
      <alignment horizontal="center" vertical="center"/>
    </xf>
    <xf numFmtId="0" fontId="13" fillId="16" borderId="90" xfId="0" applyFont="1" applyFill="1" applyBorder="1" applyAlignment="1" applyProtection="1">
      <alignment horizontal="center" vertical="center"/>
    </xf>
    <xf numFmtId="167" fontId="13" fillId="17" borderId="93" xfId="0" applyNumberFormat="1" applyFont="1" applyFill="1" applyBorder="1" applyAlignment="1" applyProtection="1">
      <alignment horizontal="center" vertical="center" wrapText="1"/>
    </xf>
    <xf numFmtId="167" fontId="13" fillId="17" borderId="89" xfId="0" applyNumberFormat="1" applyFont="1" applyFill="1" applyBorder="1" applyAlignment="1" applyProtection="1">
      <alignment horizontal="center" vertical="center" wrapText="1"/>
    </xf>
    <xf numFmtId="167" fontId="13" fillId="17" borderId="88" xfId="0" applyNumberFormat="1" applyFont="1" applyFill="1" applyBorder="1" applyAlignment="1" applyProtection="1">
      <alignment horizontal="center" vertical="center" wrapText="1"/>
    </xf>
    <xf numFmtId="0" fontId="0" fillId="37" borderId="24" xfId="0" applyFont="1" applyFill="1" applyBorder="1" applyAlignment="1" applyProtection="1">
      <alignment horizontal="left" vertical="center" wrapText="1"/>
    </xf>
    <xf numFmtId="0" fontId="0" fillId="37" borderId="16" xfId="0" applyFont="1" applyFill="1" applyBorder="1" applyAlignment="1" applyProtection="1">
      <alignment horizontal="left" vertical="center" wrapText="1"/>
    </xf>
    <xf numFmtId="0" fontId="0" fillId="37" borderId="31" xfId="0" applyFont="1" applyFill="1" applyBorder="1" applyAlignment="1" applyProtection="1">
      <alignment horizontal="left" vertical="center" wrapText="1"/>
    </xf>
    <xf numFmtId="0" fontId="0" fillId="37" borderId="25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2" xfId="0" applyFont="1" applyFill="1" applyBorder="1" applyAlignment="1" applyProtection="1">
      <alignment horizontal="left" vertical="center" wrapText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37" borderId="13" xfId="0" applyFont="1" applyFill="1" applyBorder="1" applyAlignment="1" applyProtection="1">
      <alignment horizontal="left" vertical="center" wrapText="1"/>
    </xf>
    <xf numFmtId="0" fontId="0" fillId="37" borderId="14" xfId="0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center" indent="2"/>
    </xf>
  </cellXfs>
  <cellStyles count="3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illares 3" xfId="38" xr:uid="{00000000-0005-0000-0000-000011000000}"/>
    <cellStyle name="Moneda" xfId="13" builtinId="4"/>
    <cellStyle name="Moneda [0]" xfId="31" builtinId="7"/>
    <cellStyle name="Moneda 2" xfId="26" xr:uid="{00000000-0005-0000-0000-000014000000}"/>
    <cellStyle name="Moneda 3" xfId="25" xr:uid="{00000000-0005-0000-0000-000015000000}"/>
    <cellStyle name="Neutral" xfId="14" builtinId="28" customBuiltin="1"/>
    <cellStyle name="Normal" xfId="0" builtinId="0"/>
    <cellStyle name="Normal 2" xfId="27" xr:uid="{00000000-0005-0000-0000-000018000000}"/>
    <cellStyle name="Normal 3" xfId="28" xr:uid="{00000000-0005-0000-0000-000019000000}"/>
    <cellStyle name="Normal 4" xfId="29" xr:uid="{00000000-0005-0000-0000-00001A000000}"/>
    <cellStyle name="Normal 5" xfId="37" xr:uid="{00000000-0005-0000-0000-00001B000000}"/>
    <cellStyle name="Note" xfId="15" xr:uid="{00000000-0005-0000-0000-00001C000000}"/>
    <cellStyle name="Note 2" xfId="33" xr:uid="{00000000-0005-0000-0000-00001D000000}"/>
    <cellStyle name="Note 3" xfId="34" xr:uid="{00000000-0005-0000-0000-00001E000000}"/>
    <cellStyle name="Note 4" xfId="32" xr:uid="{00000000-0005-0000-0000-00001F000000}"/>
    <cellStyle name="Note 5" xfId="36" xr:uid="{00000000-0005-0000-0000-000020000000}"/>
    <cellStyle name="Note 6" xfId="35" xr:uid="{00000000-0005-0000-0000-000021000000}"/>
    <cellStyle name="Porcentaje" xfId="16" builtinId="5"/>
    <cellStyle name="Porcentaje 2" xfId="30" xr:uid="{00000000-0005-0000-0000-000022000000}"/>
    <cellStyle name="Status" xfId="17" xr:uid="{00000000-0005-0000-0000-000024000000}"/>
    <cellStyle name="Text" xfId="18" xr:uid="{00000000-0005-0000-0000-000025000000}"/>
    <cellStyle name="Warning" xfId="19" xr:uid="{00000000-0005-0000-0000-000026000000}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99"/>
      <color rgb="FF0000CC"/>
      <color rgb="FFFF0909"/>
      <color rgb="FF69D8FF"/>
      <color rgb="FFFFFF66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17</xdr:col>
      <xdr:colOff>373229</xdr:colOff>
      <xdr:row>57</xdr:row>
      <xdr:rowOff>26511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1BC8999-36EF-42E6-BD33-C57307224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111250"/>
          <a:ext cx="12565229" cy="79640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17</xdr:col>
      <xdr:colOff>381000</xdr:colOff>
      <xdr:row>159</xdr:row>
      <xdr:rowOff>7459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DB80DCE-44E8-4B77-A773-C92D0F691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7303750"/>
          <a:ext cx="12573000" cy="79449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9</xdr:col>
      <xdr:colOff>95250</xdr:colOff>
      <xdr:row>209</xdr:row>
      <xdr:rowOff>99524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68E98AA-A128-4DE7-AD8D-C4A26F7D8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5400000"/>
          <a:ext cx="6191250" cy="7878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17</xdr:col>
      <xdr:colOff>381000</xdr:colOff>
      <xdr:row>107</xdr:row>
      <xdr:rowOff>118577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AC2FA-1783-42A6-A323-26EE6123B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9207500"/>
          <a:ext cx="12573000" cy="7897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%20Porras%20A\Desktop\mama\Planilla_tarifas_a__educacional_2021__bienique_gestio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C1:J52"/>
  <sheetViews>
    <sheetView showGridLines="0" topLeftCell="A61" zoomScale="90" zoomScaleNormal="90" workbookViewId="0">
      <selection activeCell="T77" sqref="T77"/>
    </sheetView>
  </sheetViews>
  <sheetFormatPr baseColWidth="10" defaultColWidth="11.42578125" defaultRowHeight="12.75" x14ac:dyDescent="0.2"/>
  <cols>
    <col min="1" max="16384" width="11.42578125" style="56"/>
  </cols>
  <sheetData>
    <row r="1" spans="3:10" x14ac:dyDescent="0.2">
      <c r="J1" s="55"/>
    </row>
    <row r="2" spans="3:10" x14ac:dyDescent="0.2">
      <c r="J2" s="55" t="s">
        <v>83</v>
      </c>
    </row>
    <row r="3" spans="3:10" x14ac:dyDescent="0.2">
      <c r="J3" s="55"/>
    </row>
    <row r="5" spans="3:10" x14ac:dyDescent="0.2">
      <c r="C5" s="57"/>
      <c r="D5" s="57"/>
      <c r="E5" s="57"/>
      <c r="F5" s="57"/>
      <c r="G5" s="57"/>
      <c r="H5" s="57"/>
      <c r="I5" s="57"/>
      <c r="J5" s="57"/>
    </row>
    <row r="6" spans="3:10" x14ac:dyDescent="0.2">
      <c r="C6" s="57"/>
      <c r="D6" s="57"/>
      <c r="E6" s="57"/>
      <c r="F6" s="57"/>
      <c r="G6" s="57"/>
      <c r="H6" s="57"/>
      <c r="I6" s="57"/>
      <c r="J6" s="57"/>
    </row>
    <row r="7" spans="3:10" x14ac:dyDescent="0.2">
      <c r="C7" s="57"/>
      <c r="D7" s="57"/>
      <c r="E7" s="57"/>
      <c r="F7" s="57"/>
      <c r="G7" s="57"/>
      <c r="H7" s="57"/>
      <c r="I7" s="57"/>
      <c r="J7" s="57"/>
    </row>
    <row r="8" spans="3:10" x14ac:dyDescent="0.2">
      <c r="C8" s="57"/>
      <c r="D8" s="57"/>
      <c r="E8" s="57"/>
      <c r="F8" s="57"/>
      <c r="G8" s="57"/>
      <c r="H8" s="57"/>
      <c r="I8" s="57"/>
      <c r="J8" s="57"/>
    </row>
    <row r="9" spans="3:10" x14ac:dyDescent="0.2">
      <c r="C9" s="57"/>
      <c r="D9" s="57"/>
      <c r="E9" s="57"/>
      <c r="F9" s="57"/>
      <c r="G9" s="57"/>
      <c r="H9" s="57"/>
      <c r="I9" s="57"/>
      <c r="J9" s="57"/>
    </row>
    <row r="10" spans="3:10" x14ac:dyDescent="0.2">
      <c r="C10" s="57"/>
      <c r="D10" s="57"/>
      <c r="E10" s="57"/>
      <c r="F10" s="57"/>
      <c r="G10" s="57"/>
      <c r="H10" s="57"/>
      <c r="I10" s="57"/>
      <c r="J10" s="57"/>
    </row>
    <row r="11" spans="3:10" x14ac:dyDescent="0.2">
      <c r="C11" s="57"/>
      <c r="D11" s="57"/>
      <c r="E11" s="57"/>
      <c r="F11" s="57"/>
      <c r="G11" s="57"/>
      <c r="H11" s="57"/>
      <c r="I11" s="57"/>
      <c r="J11" s="57"/>
    </row>
    <row r="12" spans="3:10" x14ac:dyDescent="0.2">
      <c r="C12" s="57"/>
      <c r="D12" s="57"/>
      <c r="E12" s="57"/>
      <c r="F12" s="57"/>
      <c r="G12" s="57"/>
      <c r="H12" s="57"/>
      <c r="I12" s="57"/>
      <c r="J12" s="57"/>
    </row>
    <row r="13" spans="3:10" x14ac:dyDescent="0.2">
      <c r="C13" s="57"/>
      <c r="D13" s="57"/>
      <c r="E13" s="57"/>
      <c r="F13" s="57"/>
      <c r="G13" s="57"/>
      <c r="H13" s="57"/>
      <c r="I13" s="57"/>
      <c r="J13" s="57"/>
    </row>
    <row r="14" spans="3:10" x14ac:dyDescent="0.2">
      <c r="C14" s="57"/>
      <c r="D14" s="57"/>
      <c r="E14" s="57"/>
      <c r="F14" s="57"/>
      <c r="G14" s="57"/>
      <c r="H14" s="57"/>
      <c r="I14" s="57"/>
      <c r="J14" s="57"/>
    </row>
    <row r="15" spans="3:10" x14ac:dyDescent="0.2">
      <c r="C15" s="57"/>
      <c r="D15" s="57"/>
      <c r="E15" s="57"/>
      <c r="F15" s="57"/>
      <c r="G15" s="57"/>
      <c r="H15" s="57"/>
      <c r="I15" s="57"/>
      <c r="J15" s="57"/>
    </row>
    <row r="16" spans="3:10" x14ac:dyDescent="0.2">
      <c r="C16" s="57"/>
      <c r="D16" s="57"/>
      <c r="E16" s="57"/>
      <c r="F16" s="57"/>
      <c r="G16" s="57"/>
      <c r="H16" s="57"/>
      <c r="I16" s="57"/>
      <c r="J16" s="57"/>
    </row>
    <row r="17" spans="3:10" x14ac:dyDescent="0.2">
      <c r="C17" s="57"/>
      <c r="D17" s="57"/>
      <c r="E17" s="57"/>
      <c r="F17" s="57"/>
      <c r="G17" s="57"/>
      <c r="H17" s="57"/>
      <c r="I17" s="57"/>
      <c r="J17" s="57"/>
    </row>
    <row r="18" spans="3:10" x14ac:dyDescent="0.2">
      <c r="C18" s="57"/>
      <c r="D18" s="57"/>
      <c r="E18" s="57"/>
      <c r="F18" s="57"/>
      <c r="G18" s="57"/>
      <c r="H18" s="57"/>
      <c r="I18" s="57"/>
      <c r="J18" s="57"/>
    </row>
    <row r="19" spans="3:10" x14ac:dyDescent="0.2">
      <c r="C19" s="57"/>
      <c r="D19" s="57"/>
      <c r="E19" s="57"/>
      <c r="F19" s="57"/>
      <c r="G19" s="57"/>
      <c r="H19" s="57"/>
      <c r="I19" s="57"/>
      <c r="J19" s="57"/>
    </row>
    <row r="20" spans="3:10" x14ac:dyDescent="0.2">
      <c r="C20" s="57"/>
      <c r="D20" s="57"/>
      <c r="E20" s="57"/>
      <c r="F20" s="57"/>
      <c r="G20" s="57"/>
      <c r="H20" s="57"/>
      <c r="I20" s="57"/>
      <c r="J20" s="57"/>
    </row>
    <row r="21" spans="3:10" x14ac:dyDescent="0.2">
      <c r="C21" s="57"/>
      <c r="D21" s="57"/>
      <c r="E21" s="57"/>
      <c r="F21" s="57"/>
      <c r="G21" s="57"/>
      <c r="H21" s="57"/>
      <c r="I21" s="57"/>
      <c r="J21" s="57"/>
    </row>
    <row r="22" spans="3:10" x14ac:dyDescent="0.2">
      <c r="C22" s="57"/>
      <c r="D22" s="57"/>
      <c r="E22" s="57"/>
      <c r="F22" s="57"/>
      <c r="G22" s="57"/>
      <c r="H22" s="57"/>
      <c r="I22" s="57"/>
      <c r="J22" s="57"/>
    </row>
    <row r="23" spans="3:10" x14ac:dyDescent="0.2">
      <c r="C23" s="57"/>
      <c r="D23" s="57"/>
      <c r="E23" s="57"/>
      <c r="F23" s="57"/>
      <c r="G23" s="57"/>
      <c r="H23" s="57"/>
      <c r="I23" s="57"/>
      <c r="J23" s="57"/>
    </row>
    <row r="24" spans="3:10" x14ac:dyDescent="0.2">
      <c r="C24" s="57"/>
      <c r="D24" s="57"/>
      <c r="E24" s="57"/>
      <c r="F24" s="57"/>
      <c r="G24" s="57"/>
      <c r="H24" s="57"/>
      <c r="I24" s="57"/>
      <c r="J24" s="57"/>
    </row>
    <row r="25" spans="3:10" x14ac:dyDescent="0.2">
      <c r="C25" s="57"/>
      <c r="D25" s="57"/>
      <c r="E25" s="57"/>
      <c r="F25" s="57"/>
      <c r="G25" s="57"/>
      <c r="H25" s="57"/>
      <c r="I25" s="57"/>
      <c r="J25" s="57"/>
    </row>
    <row r="26" spans="3:10" x14ac:dyDescent="0.2">
      <c r="C26" s="57"/>
      <c r="D26" s="57"/>
      <c r="E26" s="57"/>
      <c r="F26" s="57"/>
      <c r="G26" s="57"/>
      <c r="H26" s="57"/>
      <c r="I26" s="57"/>
      <c r="J26" s="57"/>
    </row>
    <row r="27" spans="3:10" x14ac:dyDescent="0.2">
      <c r="C27" s="57"/>
      <c r="D27" s="57"/>
      <c r="E27" s="57"/>
      <c r="F27" s="57"/>
      <c r="G27" s="57"/>
      <c r="H27" s="57"/>
      <c r="I27" s="57"/>
      <c r="J27" s="57"/>
    </row>
    <row r="28" spans="3:10" x14ac:dyDescent="0.2">
      <c r="C28" s="57"/>
      <c r="D28" s="57"/>
      <c r="E28" s="57"/>
      <c r="F28" s="57"/>
      <c r="G28" s="57"/>
      <c r="H28" s="57"/>
      <c r="I28" s="57"/>
      <c r="J28" s="57"/>
    </row>
    <row r="29" spans="3:10" x14ac:dyDescent="0.2">
      <c r="C29" s="57"/>
      <c r="D29" s="57"/>
      <c r="E29" s="57"/>
      <c r="F29" s="57"/>
      <c r="G29" s="57"/>
      <c r="H29" s="57"/>
      <c r="I29" s="57"/>
      <c r="J29" s="57"/>
    </row>
    <row r="30" spans="3:10" x14ac:dyDescent="0.2">
      <c r="C30" s="57"/>
      <c r="D30" s="57"/>
      <c r="E30" s="57"/>
      <c r="F30" s="57"/>
      <c r="G30" s="57"/>
      <c r="H30" s="57"/>
      <c r="I30" s="57"/>
      <c r="J30" s="57"/>
    </row>
    <row r="31" spans="3:10" x14ac:dyDescent="0.2">
      <c r="C31" s="57"/>
      <c r="D31" s="57"/>
      <c r="E31" s="57"/>
      <c r="F31" s="57"/>
      <c r="G31" s="57"/>
      <c r="H31" s="57"/>
      <c r="I31" s="57"/>
      <c r="J31" s="57"/>
    </row>
    <row r="32" spans="3:10" x14ac:dyDescent="0.2">
      <c r="C32" s="57"/>
      <c r="D32" s="57"/>
      <c r="E32" s="57"/>
      <c r="F32" s="57"/>
      <c r="G32" s="57"/>
      <c r="H32" s="57"/>
      <c r="I32" s="57"/>
      <c r="J32" s="57"/>
    </row>
    <row r="33" spans="3:10" x14ac:dyDescent="0.2">
      <c r="C33" s="57"/>
      <c r="D33" s="57"/>
      <c r="E33" s="57"/>
      <c r="F33" s="57"/>
      <c r="G33" s="57"/>
      <c r="H33" s="57"/>
      <c r="I33" s="57"/>
      <c r="J33" s="57"/>
    </row>
    <row r="34" spans="3:10" x14ac:dyDescent="0.2">
      <c r="C34" s="57"/>
      <c r="D34" s="57"/>
      <c r="E34" s="57"/>
      <c r="F34" s="57"/>
      <c r="G34" s="57"/>
      <c r="H34" s="57"/>
      <c r="I34" s="57"/>
      <c r="J34" s="57"/>
    </row>
    <row r="35" spans="3:10" x14ac:dyDescent="0.2">
      <c r="C35" s="57"/>
      <c r="D35" s="57"/>
      <c r="E35" s="57"/>
      <c r="F35" s="57"/>
      <c r="G35" s="57"/>
      <c r="H35" s="57"/>
      <c r="I35" s="57"/>
      <c r="J35" s="57"/>
    </row>
    <row r="36" spans="3:10" x14ac:dyDescent="0.2">
      <c r="C36" s="57"/>
      <c r="D36" s="57"/>
      <c r="E36" s="57"/>
      <c r="F36" s="57"/>
      <c r="G36" s="57"/>
      <c r="H36" s="57"/>
      <c r="I36" s="57"/>
      <c r="J36" s="57"/>
    </row>
    <row r="37" spans="3:10" x14ac:dyDescent="0.2">
      <c r="C37" s="57"/>
      <c r="D37" s="57"/>
      <c r="E37" s="57"/>
      <c r="F37" s="57"/>
      <c r="G37" s="57"/>
      <c r="H37" s="57"/>
      <c r="I37" s="57"/>
      <c r="J37" s="57"/>
    </row>
    <row r="38" spans="3:10" x14ac:dyDescent="0.2">
      <c r="C38" s="57"/>
      <c r="D38" s="57"/>
      <c r="E38" s="57"/>
      <c r="F38" s="57"/>
      <c r="G38" s="57"/>
      <c r="H38" s="57"/>
      <c r="I38" s="57"/>
      <c r="J38" s="57"/>
    </row>
    <row r="39" spans="3:10" x14ac:dyDescent="0.2">
      <c r="C39" s="57"/>
      <c r="D39" s="57"/>
      <c r="E39" s="57"/>
      <c r="F39" s="57"/>
      <c r="G39" s="57"/>
      <c r="H39" s="57"/>
      <c r="I39" s="57"/>
      <c r="J39" s="57"/>
    </row>
    <row r="40" spans="3:10" x14ac:dyDescent="0.2">
      <c r="C40" s="57"/>
      <c r="D40" s="57"/>
      <c r="E40" s="57"/>
      <c r="F40" s="57"/>
      <c r="G40" s="57"/>
      <c r="H40" s="57"/>
      <c r="I40" s="57"/>
      <c r="J40" s="57"/>
    </row>
    <row r="41" spans="3:10" x14ac:dyDescent="0.2">
      <c r="C41" s="57"/>
      <c r="D41" s="57"/>
      <c r="E41" s="57"/>
      <c r="F41" s="57"/>
      <c r="G41" s="57"/>
      <c r="H41" s="57"/>
      <c r="I41" s="57"/>
      <c r="J41" s="57"/>
    </row>
    <row r="42" spans="3:10" x14ac:dyDescent="0.2">
      <c r="C42" s="57"/>
      <c r="D42" s="57"/>
      <c r="E42" s="57"/>
      <c r="F42" s="57"/>
      <c r="G42" s="57"/>
      <c r="H42" s="57"/>
      <c r="I42" s="57"/>
      <c r="J42" s="57"/>
    </row>
    <row r="43" spans="3:10" x14ac:dyDescent="0.2">
      <c r="C43" s="57"/>
      <c r="D43" s="57"/>
      <c r="E43" s="57"/>
      <c r="F43" s="57"/>
      <c r="G43" s="57"/>
      <c r="H43" s="57"/>
      <c r="I43" s="57"/>
      <c r="J43" s="57"/>
    </row>
    <row r="44" spans="3:10" x14ac:dyDescent="0.2">
      <c r="C44" s="57"/>
      <c r="D44" s="57"/>
      <c r="E44" s="57"/>
      <c r="F44" s="57"/>
      <c r="G44" s="57"/>
      <c r="H44" s="57"/>
      <c r="I44" s="57"/>
      <c r="J44" s="57"/>
    </row>
    <row r="45" spans="3:10" x14ac:dyDescent="0.2">
      <c r="C45" s="57"/>
      <c r="D45" s="57"/>
      <c r="E45" s="57"/>
      <c r="F45" s="57"/>
      <c r="G45" s="57"/>
      <c r="H45" s="57"/>
      <c r="I45" s="57"/>
      <c r="J45" s="57"/>
    </row>
    <row r="46" spans="3:10" x14ac:dyDescent="0.2">
      <c r="C46" s="57"/>
      <c r="D46" s="57"/>
      <c r="E46" s="57"/>
      <c r="F46" s="57"/>
      <c r="G46" s="57"/>
      <c r="H46" s="57"/>
      <c r="I46" s="57"/>
      <c r="J46" s="57"/>
    </row>
    <row r="47" spans="3:10" x14ac:dyDescent="0.2">
      <c r="C47" s="57"/>
      <c r="D47" s="57"/>
      <c r="E47" s="57"/>
      <c r="F47" s="57"/>
      <c r="G47" s="57"/>
      <c r="H47" s="57"/>
      <c r="I47" s="57"/>
      <c r="J47" s="57"/>
    </row>
    <row r="48" spans="3:10" x14ac:dyDescent="0.2">
      <c r="C48" s="57"/>
      <c r="D48" s="57"/>
      <c r="E48" s="57"/>
      <c r="F48" s="57"/>
      <c r="G48" s="57"/>
      <c r="H48" s="57"/>
      <c r="I48" s="57"/>
      <c r="J48" s="57"/>
    </row>
    <row r="49" spans="3:10" x14ac:dyDescent="0.2">
      <c r="C49" s="57"/>
      <c r="D49" s="57"/>
      <c r="E49" s="57"/>
      <c r="F49" s="57"/>
      <c r="G49" s="57"/>
      <c r="H49" s="57"/>
      <c r="I49" s="57"/>
      <c r="J49" s="57"/>
    </row>
    <row r="50" spans="3:10" x14ac:dyDescent="0.2">
      <c r="C50" s="57"/>
      <c r="D50" s="57"/>
      <c r="E50" s="57"/>
      <c r="F50" s="57"/>
      <c r="G50" s="57"/>
      <c r="H50" s="57"/>
      <c r="I50" s="57"/>
      <c r="J50" s="57"/>
    </row>
    <row r="51" spans="3:10" x14ac:dyDescent="0.2">
      <c r="C51" s="57"/>
      <c r="D51" s="57"/>
      <c r="E51" s="57"/>
      <c r="F51" s="57"/>
      <c r="G51" s="57"/>
      <c r="H51" s="57"/>
      <c r="I51" s="57"/>
      <c r="J51" s="57"/>
    </row>
    <row r="52" spans="3:10" x14ac:dyDescent="0.2">
      <c r="C52" s="57"/>
      <c r="D52" s="57"/>
      <c r="E52" s="57"/>
      <c r="F52" s="57"/>
      <c r="G52" s="57"/>
      <c r="H52" s="57"/>
      <c r="I52" s="57"/>
      <c r="J52" s="57"/>
    </row>
  </sheetData>
  <sheetProtection algorithmName="SHA-512" hashValue="EXzkFabGngQCvGQLLyLpNkYnxl9L+YGc783TntTT1NyQ+i+pRZgh29So5NcRCWvLFRVoBrHLQpnQLm0pP2Ur5w==" saltValue="/hlrYTgQ0IcNE7H6gZe8IQ==" spinCount="100000" sheet="1" objects="1" scenarios="1"/>
  <pageMargins left="0.11811023622047245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B1:S57"/>
  <sheetViews>
    <sheetView showGridLines="0" zoomScale="80" zoomScaleNormal="80" workbookViewId="0">
      <selection activeCell="E52" sqref="E52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36"/>
    </row>
    <row r="2" spans="2:11" x14ac:dyDescent="0.2">
      <c r="H2" s="36" t="s">
        <v>84</v>
      </c>
    </row>
    <row r="5" spans="2:11" x14ac:dyDescent="0.2">
      <c r="B5" s="730" t="s">
        <v>159</v>
      </c>
      <c r="C5" s="730"/>
      <c r="D5" s="730"/>
      <c r="E5" s="730"/>
      <c r="F5" s="730"/>
    </row>
    <row r="7" spans="2:11" x14ac:dyDescent="0.2">
      <c r="C7" s="170" t="s">
        <v>144</v>
      </c>
      <c r="D7" s="170"/>
      <c r="E7" s="170"/>
      <c r="F7" s="170"/>
      <c r="G7" s="170"/>
      <c r="H7" s="170"/>
      <c r="I7" s="170"/>
      <c r="J7" s="170"/>
      <c r="K7" s="170"/>
    </row>
    <row r="9" spans="2:11" x14ac:dyDescent="0.2">
      <c r="C9" s="170" t="s">
        <v>145</v>
      </c>
      <c r="D9" s="170"/>
      <c r="E9" s="170"/>
      <c r="F9" s="170"/>
      <c r="G9" s="170"/>
      <c r="H9" s="170"/>
      <c r="I9" s="169"/>
      <c r="J9" s="169"/>
      <c r="K9" s="169"/>
    </row>
    <row r="11" spans="2:11" x14ac:dyDescent="0.2">
      <c r="B11" s="728" t="s">
        <v>160</v>
      </c>
      <c r="C11" s="728"/>
      <c r="D11" s="728"/>
      <c r="E11" s="728"/>
      <c r="F11" s="728"/>
    </row>
    <row r="13" spans="2:11" x14ac:dyDescent="0.2">
      <c r="C13" s="171" t="s">
        <v>146</v>
      </c>
      <c r="D13" s="171"/>
      <c r="E13" s="171"/>
      <c r="F13" s="171"/>
      <c r="G13" s="171"/>
      <c r="H13" s="171"/>
    </row>
    <row r="15" spans="2:11" x14ac:dyDescent="0.2">
      <c r="C15" s="171" t="s">
        <v>147</v>
      </c>
      <c r="D15" s="171"/>
      <c r="E15" s="171"/>
      <c r="F15" s="171"/>
      <c r="G15" s="171"/>
      <c r="H15" s="171"/>
      <c r="I15" s="169"/>
      <c r="J15" s="169"/>
      <c r="K15" s="169"/>
    </row>
    <row r="19" spans="2:16" x14ac:dyDescent="0.2">
      <c r="B19" s="728" t="s">
        <v>161</v>
      </c>
      <c r="C19" s="728"/>
      <c r="D19" s="728"/>
      <c r="E19" s="728"/>
      <c r="F19" s="728"/>
    </row>
    <row r="21" spans="2:16" x14ac:dyDescent="0.2">
      <c r="C21" s="171" t="s">
        <v>149</v>
      </c>
      <c r="D21" s="171"/>
      <c r="E21" s="171"/>
      <c r="F21" s="172"/>
      <c r="G21" s="172"/>
      <c r="H21" s="172"/>
    </row>
    <row r="22" spans="2:16" x14ac:dyDescent="0.2">
      <c r="C22" s="729"/>
      <c r="D22" s="729"/>
      <c r="E22" s="729"/>
      <c r="F22" s="729"/>
      <c r="G22" s="729"/>
      <c r="H22" s="729"/>
      <c r="I22" s="729"/>
      <c r="J22" s="729"/>
      <c r="K22" s="729"/>
    </row>
    <row r="24" spans="2:16" x14ac:dyDescent="0.2">
      <c r="B24" s="728" t="s">
        <v>162</v>
      </c>
      <c r="C24" s="728"/>
      <c r="D24" s="728"/>
      <c r="E24" s="728"/>
      <c r="F24" s="728"/>
    </row>
    <row r="26" spans="2:16" x14ac:dyDescent="0.2">
      <c r="C26" s="173" t="s">
        <v>150</v>
      </c>
      <c r="D26" s="173"/>
      <c r="E26" s="173"/>
      <c r="F26" s="173"/>
      <c r="G26" s="173"/>
      <c r="H26" s="173"/>
      <c r="I26" s="173"/>
      <c r="J26" s="173"/>
    </row>
    <row r="27" spans="2:16" ht="12.75" customHeight="1" x14ac:dyDescent="0.2">
      <c r="C27" s="731" t="s">
        <v>151</v>
      </c>
      <c r="D27" s="731"/>
      <c r="E27" s="731"/>
      <c r="F27" s="731"/>
      <c r="G27" s="731"/>
      <c r="H27" s="731"/>
      <c r="I27" s="731"/>
      <c r="J27" s="731"/>
      <c r="K27" s="731"/>
      <c r="L27" s="731"/>
      <c r="M27" s="731"/>
    </row>
    <row r="28" spans="2:16" ht="12.75" customHeight="1" x14ac:dyDescent="0.2">
      <c r="C28" s="731"/>
      <c r="D28" s="731"/>
      <c r="E28" s="731"/>
      <c r="F28" s="731"/>
      <c r="G28" s="731"/>
      <c r="H28" s="731"/>
      <c r="I28" s="731"/>
      <c r="J28" s="731"/>
      <c r="K28" s="731"/>
      <c r="L28" s="731"/>
      <c r="M28" s="731"/>
    </row>
    <row r="29" spans="2:16" ht="12.75" customHeight="1" x14ac:dyDescent="0.2">
      <c r="C29" s="173" t="s">
        <v>152</v>
      </c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2"/>
    </row>
    <row r="30" spans="2:16" ht="12.75" customHeight="1" x14ac:dyDescent="0.2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2"/>
    </row>
    <row r="31" spans="2:16" ht="12.75" customHeight="1" x14ac:dyDescent="0.2">
      <c r="C31" s="177" t="s">
        <v>153</v>
      </c>
      <c r="D31" s="174"/>
      <c r="E31" s="174"/>
      <c r="F31" s="176"/>
      <c r="G31" s="174"/>
      <c r="H31" s="174"/>
      <c r="I31" s="174"/>
      <c r="J31" s="174"/>
      <c r="K31" s="174"/>
      <c r="L31" s="174"/>
      <c r="M31" s="174"/>
      <c r="N31" s="172"/>
      <c r="O31" s="172"/>
      <c r="P31" s="172"/>
    </row>
    <row r="32" spans="2:16" ht="12.75" customHeight="1" x14ac:dyDescent="0.2">
      <c r="C32" s="175"/>
      <c r="D32" s="175"/>
      <c r="E32" s="175"/>
      <c r="F32" s="175"/>
      <c r="G32" s="175"/>
      <c r="H32" s="175"/>
      <c r="I32" s="174"/>
      <c r="J32" s="174"/>
      <c r="K32" s="174"/>
      <c r="L32" s="174"/>
      <c r="M32" s="174"/>
      <c r="N32" s="172"/>
    </row>
    <row r="33" spans="2:19" ht="12.75" customHeight="1" x14ac:dyDescent="0.2">
      <c r="C33" s="732" t="s">
        <v>154</v>
      </c>
      <c r="D33" s="732"/>
      <c r="E33" s="732"/>
      <c r="F33" s="732"/>
      <c r="G33" s="732"/>
      <c r="H33" s="732"/>
      <c r="I33" s="732"/>
      <c r="J33" s="732"/>
      <c r="K33" s="732"/>
      <c r="L33" s="732"/>
      <c r="M33" s="732"/>
      <c r="N33" s="172"/>
    </row>
    <row r="34" spans="2:19" ht="12.75" customHeight="1" x14ac:dyDescent="0.2">
      <c r="C34" s="132"/>
      <c r="D34" s="132"/>
      <c r="E34" s="132"/>
      <c r="F34" s="132"/>
      <c r="G34" s="132"/>
      <c r="H34" s="132"/>
      <c r="I34" s="173"/>
      <c r="J34" s="173"/>
      <c r="K34" s="173"/>
      <c r="L34" s="173"/>
      <c r="M34" s="173"/>
      <c r="N34" s="172"/>
    </row>
    <row r="35" spans="2:19" ht="12.75" customHeight="1" x14ac:dyDescent="0.2">
      <c r="C35" s="174" t="s">
        <v>155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2"/>
    </row>
    <row r="36" spans="2:19" ht="12.75" customHeight="1" x14ac:dyDescent="0.2">
      <c r="C36" s="175"/>
      <c r="D36" s="175"/>
      <c r="E36" s="175"/>
      <c r="F36" s="175"/>
      <c r="G36" s="175"/>
      <c r="H36" s="175"/>
      <c r="I36" s="174"/>
      <c r="J36" s="174"/>
      <c r="K36" s="174"/>
      <c r="L36" s="174"/>
      <c r="M36" s="174"/>
      <c r="N36" s="172"/>
    </row>
    <row r="37" spans="2:19" ht="12.75" customHeight="1" x14ac:dyDescent="0.2"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</row>
    <row r="38" spans="2:19" ht="12.75" customHeight="1" x14ac:dyDescent="0.2"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2:19" ht="12.75" customHeight="1" x14ac:dyDescent="0.2">
      <c r="B39" s="177" t="s">
        <v>163</v>
      </c>
      <c r="C39" s="173"/>
      <c r="D39" s="92"/>
      <c r="E39" s="92"/>
      <c r="F39" s="92"/>
      <c r="G39" s="92"/>
      <c r="H39" s="92"/>
      <c r="I39" s="92"/>
      <c r="J39" s="92"/>
      <c r="K39" s="92"/>
      <c r="L39" s="92"/>
      <c r="M39" s="92"/>
    </row>
    <row r="40" spans="2:19" x14ac:dyDescent="0.2">
      <c r="O40" s="729"/>
      <c r="P40" s="729"/>
      <c r="Q40" s="729"/>
      <c r="R40" s="729"/>
      <c r="S40" s="729"/>
    </row>
    <row r="41" spans="2:19" x14ac:dyDescent="0.2">
      <c r="C41" s="733" t="s">
        <v>156</v>
      </c>
      <c r="D41" s="733"/>
      <c r="E41" s="733"/>
      <c r="F41" s="733"/>
    </row>
    <row r="42" spans="2:19" x14ac:dyDescent="0.2">
      <c r="C42" s="729"/>
      <c r="D42" s="729"/>
      <c r="E42" s="729"/>
      <c r="F42" s="729"/>
      <c r="G42" s="729"/>
      <c r="H42" s="729"/>
      <c r="I42" s="729"/>
      <c r="J42" s="729"/>
    </row>
    <row r="44" spans="2:19" x14ac:dyDescent="0.2">
      <c r="B44" s="728" t="s">
        <v>164</v>
      </c>
      <c r="C44" s="728"/>
      <c r="D44" s="728"/>
      <c r="E44" s="728"/>
      <c r="F44" s="728"/>
    </row>
    <row r="46" spans="2:19" x14ac:dyDescent="0.2">
      <c r="C46" s="178" t="s">
        <v>157</v>
      </c>
      <c r="D46" s="178"/>
      <c r="E46" s="178"/>
      <c r="F46" s="178"/>
      <c r="G46" s="178"/>
      <c r="H46" s="178"/>
      <c r="I46" s="178"/>
      <c r="J46" s="178"/>
      <c r="K46" s="179"/>
      <c r="L46" s="179"/>
      <c r="M46" s="179"/>
    </row>
    <row r="50" spans="2:13" x14ac:dyDescent="0.2">
      <c r="B50" s="728" t="s">
        <v>165</v>
      </c>
      <c r="C50" s="728"/>
      <c r="D50" s="728"/>
      <c r="E50" s="728"/>
      <c r="F50" s="728"/>
    </row>
    <row r="52" spans="2:13" x14ac:dyDescent="0.2">
      <c r="C52" s="173" t="s">
        <v>158</v>
      </c>
      <c r="D52" s="173"/>
      <c r="E52" s="173"/>
      <c r="F52" s="173"/>
      <c r="G52" s="172"/>
      <c r="H52" s="172"/>
      <c r="I52" s="172"/>
      <c r="J52" s="172"/>
      <c r="K52" s="172"/>
      <c r="L52" s="172"/>
      <c r="M52" s="172"/>
    </row>
    <row r="54" spans="2:13" x14ac:dyDescent="0.2">
      <c r="B54" s="172" t="s">
        <v>166</v>
      </c>
      <c r="C54" s="172"/>
    </row>
    <row r="57" spans="2:13" x14ac:dyDescent="0.2">
      <c r="B57" s="727" t="s">
        <v>247</v>
      </c>
      <c r="C57" s="727"/>
    </row>
  </sheetData>
  <sheetProtection sheet="1" objects="1" scenarios="1"/>
  <mergeCells count="13">
    <mergeCell ref="B5:F5"/>
    <mergeCell ref="C22:K22"/>
    <mergeCell ref="B50:F50"/>
    <mergeCell ref="C42:J42"/>
    <mergeCell ref="B44:F44"/>
    <mergeCell ref="C27:M28"/>
    <mergeCell ref="C33:M33"/>
    <mergeCell ref="C41:F41"/>
    <mergeCell ref="B57:C57"/>
    <mergeCell ref="B11:F11"/>
    <mergeCell ref="O40:S40"/>
    <mergeCell ref="B19:F19"/>
    <mergeCell ref="B24:F24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7:C57" location="'I) Proyección Mensual.'!A2" display="I) Proyección Mensual" xr:uid="{00000000-0004-0000-0100-00001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1"/>
  <sheetViews>
    <sheetView showGridLines="0" tabSelected="1" zoomScale="80" zoomScaleNormal="80" workbookViewId="0">
      <selection activeCell="G12" sqref="G12"/>
    </sheetView>
  </sheetViews>
  <sheetFormatPr baseColWidth="10" defaultColWidth="11.42578125" defaultRowHeight="12.75" x14ac:dyDescent="0.2"/>
  <cols>
    <col min="1" max="1" width="37.140625" style="3" customWidth="1"/>
    <col min="2" max="2" width="21.42578125" style="3" customWidth="1"/>
    <col min="3" max="3" width="20.85546875" style="3" bestFit="1" customWidth="1"/>
    <col min="4" max="4" width="19.28515625" style="3" customWidth="1"/>
    <col min="5" max="6" width="18.85546875" style="3" customWidth="1"/>
    <col min="7" max="7" width="18" style="3" customWidth="1"/>
    <col min="8" max="8" width="18.28515625" style="3" customWidth="1"/>
    <col min="9" max="9" width="18.140625" style="3" bestFit="1" customWidth="1"/>
    <col min="10" max="10" width="18.7109375" style="3" bestFit="1" customWidth="1"/>
    <col min="11" max="11" width="18.7109375" style="3" customWidth="1"/>
    <col min="12" max="12" width="16.42578125" style="3" bestFit="1" customWidth="1"/>
    <col min="13" max="13" width="17.5703125" style="3" customWidth="1"/>
    <col min="14" max="14" width="17.28515625" style="3" customWidth="1"/>
    <col min="15" max="15" width="16.85546875" style="3" customWidth="1"/>
    <col min="16" max="16" width="14.85546875" style="3" customWidth="1"/>
    <col min="17" max="17" width="16.42578125" style="3" bestFit="1" customWidth="1"/>
    <col min="18" max="18" width="15.85546875" style="3" customWidth="1"/>
    <col min="19" max="16384" width="11.42578125" style="3"/>
  </cols>
  <sheetData>
    <row r="1" spans="1:247" s="5" customFormat="1" x14ac:dyDescent="0.2">
      <c r="A1" s="4"/>
      <c r="C1" s="6"/>
      <c r="D1" s="6"/>
      <c r="E1" s="36" t="s">
        <v>198</v>
      </c>
      <c r="F1" s="36"/>
      <c r="G1" s="6"/>
      <c r="H1" s="6"/>
      <c r="IL1" s="3"/>
      <c r="IM1" s="3"/>
    </row>
    <row r="2" spans="1:247" s="5" customFormat="1" x14ac:dyDescent="0.2">
      <c r="A2" s="7"/>
      <c r="C2" s="6"/>
      <c r="D2" s="6"/>
      <c r="E2" s="36" t="s">
        <v>191</v>
      </c>
      <c r="F2" s="36"/>
      <c r="G2" s="6"/>
      <c r="H2" s="6"/>
      <c r="L2" s="6"/>
      <c r="M2" s="6"/>
      <c r="IL2" s="3"/>
      <c r="IM2" s="3"/>
    </row>
    <row r="3" spans="1:247" s="5" customFormat="1" x14ac:dyDescent="0.2">
      <c r="A3" s="3"/>
      <c r="IL3" s="3"/>
      <c r="IM3" s="3"/>
    </row>
    <row r="4" spans="1:247" s="5" customFormat="1" ht="18.75" customHeight="1" x14ac:dyDescent="0.2">
      <c r="A4" s="21"/>
      <c r="B4" s="22"/>
      <c r="C4" s="736" t="s">
        <v>0</v>
      </c>
      <c r="D4" s="736"/>
      <c r="E4" s="737" t="s">
        <v>140</v>
      </c>
      <c r="F4" s="738"/>
      <c r="G4" s="739"/>
      <c r="L4" s="2"/>
      <c r="IC4" s="3"/>
      <c r="ID4" s="3"/>
      <c r="IE4" s="3"/>
      <c r="IF4" s="3"/>
      <c r="IG4" s="3"/>
      <c r="IH4" s="3"/>
    </row>
    <row r="5" spans="1:247" s="5" customFormat="1" x14ac:dyDescent="0.2">
      <c r="A5" s="3"/>
      <c r="B5" s="3"/>
      <c r="C5" s="3"/>
      <c r="D5" s="3"/>
      <c r="E5" s="3"/>
      <c r="F5" s="3"/>
      <c r="G5" s="8"/>
      <c r="H5" s="180"/>
      <c r="I5" s="6"/>
      <c r="J5" s="6"/>
      <c r="K5" s="6"/>
      <c r="L5" s="2"/>
      <c r="IC5" s="3"/>
      <c r="ID5" s="3"/>
      <c r="IE5" s="3"/>
      <c r="IF5" s="3"/>
      <c r="IG5" s="3"/>
      <c r="IH5" s="3"/>
    </row>
    <row r="6" spans="1:247" s="5" customFormat="1" ht="15.75" x14ac:dyDescent="0.2">
      <c r="A6" s="756" t="s">
        <v>144</v>
      </c>
      <c r="B6" s="756"/>
      <c r="C6" s="756"/>
      <c r="D6" s="756"/>
      <c r="E6" s="3"/>
      <c r="F6" s="3"/>
      <c r="G6" s="8"/>
      <c r="H6" s="180"/>
      <c r="I6" s="6"/>
      <c r="J6" s="6"/>
      <c r="K6" s="6"/>
      <c r="L6" s="2"/>
      <c r="IC6" s="3"/>
      <c r="ID6" s="3"/>
      <c r="IE6" s="3"/>
      <c r="IF6" s="3"/>
      <c r="IG6" s="3"/>
      <c r="IH6" s="3"/>
    </row>
    <row r="7" spans="1:247" ht="13.5" thickBot="1" x14ac:dyDescent="0.25">
      <c r="B7" s="39"/>
      <c r="C7" s="39"/>
      <c r="E7" s="39"/>
      <c r="F7" s="39"/>
      <c r="G7" s="39"/>
      <c r="H7" s="39"/>
      <c r="I7" s="39"/>
      <c r="M7" s="40"/>
    </row>
    <row r="8" spans="1:247" ht="39" customHeight="1" x14ac:dyDescent="0.2">
      <c r="A8" s="217" t="s">
        <v>113</v>
      </c>
      <c r="B8" s="218" t="str">
        <f>+N19</f>
        <v>Ingreso por Matrícula</v>
      </c>
      <c r="C8" s="219" t="str">
        <f>+O19</f>
        <v>Ingreso por Mensualidad</v>
      </c>
      <c r="D8" s="219" t="s">
        <v>126</v>
      </c>
      <c r="E8" s="220" t="s">
        <v>82</v>
      </c>
      <c r="F8" s="221" t="s">
        <v>79</v>
      </c>
      <c r="G8" s="222" t="s">
        <v>80</v>
      </c>
      <c r="H8" s="223" t="s">
        <v>107</v>
      </c>
      <c r="I8" s="224" t="s">
        <v>112</v>
      </c>
      <c r="L8" s="47" t="s">
        <v>111</v>
      </c>
      <c r="N8" s="69"/>
    </row>
    <row r="9" spans="1:247" x14ac:dyDescent="0.2">
      <c r="A9" s="225" t="str">
        <f>+'B) Reajuste Tarifas y Ocupación'!A12</f>
        <v>Jardín Infantil Olitas de Mar</v>
      </c>
      <c r="B9" s="226">
        <f>+N30</f>
        <v>6675300</v>
      </c>
      <c r="C9" s="227">
        <f>+O30</f>
        <v>66753000</v>
      </c>
      <c r="D9" s="226">
        <f>+P30</f>
        <v>2808000</v>
      </c>
      <c r="E9" s="228">
        <f>+B9+D9+C9</f>
        <v>76236300</v>
      </c>
      <c r="F9" s="229">
        <f>+'C) Costos Directos'!H75</f>
        <v>89873652</v>
      </c>
      <c r="G9" s="230">
        <f>+'D) Costos Indirectos'!$AP$15*(F9/$F$12)</f>
        <v>34276014.829231352</v>
      </c>
      <c r="H9" s="231">
        <f>+F9+G9</f>
        <v>124149666.82923135</v>
      </c>
      <c r="I9" s="232">
        <f>E9-H9</f>
        <v>-47913366.829231352</v>
      </c>
      <c r="L9" s="62">
        <f>+IFERROR(G9/$G$12,0)</f>
        <v>0.72522887591833862</v>
      </c>
      <c r="N9" s="70"/>
    </row>
    <row r="10" spans="1:247" x14ac:dyDescent="0.2">
      <c r="A10" s="309" t="s">
        <v>224</v>
      </c>
      <c r="B10" s="226">
        <f>+N33+'A) Resumen Ingresos y Egresos'!N39</f>
        <v>0</v>
      </c>
      <c r="C10" s="227">
        <f>O33+O39</f>
        <v>41688000</v>
      </c>
      <c r="D10" s="492"/>
      <c r="E10" s="228">
        <f>+B10+D10+C10</f>
        <v>41688000</v>
      </c>
      <c r="F10" s="229">
        <f>'C) Costos Directos'!H139</f>
        <v>34050884.079999998</v>
      </c>
      <c r="G10" s="230">
        <f>+'D) Costos Indirectos'!$AP$15*(F10/$F$12)</f>
        <v>12986326.712021424</v>
      </c>
      <c r="H10" s="231">
        <f t="shared" ref="H10:H11" si="0">+F10+G10</f>
        <v>47037210.792021424</v>
      </c>
      <c r="I10" s="232">
        <f t="shared" ref="I10:I11" si="1">E10-H10</f>
        <v>-5349210.7920214236</v>
      </c>
      <c r="L10" s="62">
        <f>+IFERROR(G10/$G$12,0)</f>
        <v>0.27477112408166132</v>
      </c>
      <c r="N10" s="70"/>
    </row>
    <row r="11" spans="1:247" x14ac:dyDescent="0.2">
      <c r="A11" s="309" t="s">
        <v>225</v>
      </c>
      <c r="B11" s="226">
        <f>N36</f>
        <v>0</v>
      </c>
      <c r="C11" s="227">
        <f>O36</f>
        <v>0</v>
      </c>
      <c r="D11" s="492"/>
      <c r="E11" s="228">
        <f>+B11+D11+C11</f>
        <v>0</v>
      </c>
      <c r="F11" s="229">
        <f>+'C) Costos Directos'!H141</f>
        <v>0</v>
      </c>
      <c r="G11" s="230">
        <f>+'D) Costos Indirectos'!$AP$15*(F11/$F$12)</f>
        <v>0</v>
      </c>
      <c r="H11" s="231">
        <f t="shared" si="0"/>
        <v>0</v>
      </c>
      <c r="I11" s="232">
        <f t="shared" si="1"/>
        <v>0</v>
      </c>
      <c r="L11" s="62">
        <f>+IFERROR(G11/$G$12,0)</f>
        <v>0</v>
      </c>
      <c r="N11" s="70"/>
    </row>
    <row r="12" spans="1:247" s="5" customFormat="1" ht="15.75" thickBot="1" x14ac:dyDescent="0.25">
      <c r="A12" s="233" t="s">
        <v>1</v>
      </c>
      <c r="B12" s="234">
        <f>SUM(B9:B11)</f>
        <v>6675300</v>
      </c>
      <c r="C12" s="234">
        <f t="shared" ref="C12:I12" si="2">SUM(C9:C11)</f>
        <v>108441000</v>
      </c>
      <c r="D12" s="234">
        <f t="shared" si="2"/>
        <v>2808000</v>
      </c>
      <c r="E12" s="234">
        <f t="shared" si="2"/>
        <v>117924300</v>
      </c>
      <c r="F12" s="234">
        <f t="shared" si="2"/>
        <v>123924536.08</v>
      </c>
      <c r="G12" s="234">
        <f t="shared" si="2"/>
        <v>47262341.541252777</v>
      </c>
      <c r="H12" s="234">
        <f t="shared" si="2"/>
        <v>171186877.62125278</v>
      </c>
      <c r="I12" s="234">
        <f t="shared" si="2"/>
        <v>-53262577.621252775</v>
      </c>
      <c r="L12" s="63">
        <f>SUM(L9:L11)</f>
        <v>1</v>
      </c>
      <c r="N12" s="40"/>
      <c r="O12" s="190"/>
      <c r="IB12" s="3"/>
      <c r="IC12" s="3"/>
      <c r="ID12" s="3"/>
      <c r="IE12" s="3"/>
      <c r="IF12" s="3"/>
      <c r="IG12" s="3"/>
      <c r="IH12" s="3"/>
    </row>
    <row r="13" spans="1:247" s="5" customFormat="1" ht="15.75" customHeight="1" x14ac:dyDescent="0.2">
      <c r="A13" s="10"/>
      <c r="B13" s="10"/>
      <c r="C13" s="11"/>
      <c r="D13" s="11"/>
      <c r="E13" s="11"/>
      <c r="F13" s="11"/>
      <c r="G13" s="11"/>
      <c r="H13" s="11"/>
      <c r="I13" s="11"/>
      <c r="J13" s="710"/>
      <c r="K13" s="11"/>
      <c r="L13" s="11"/>
      <c r="M13" s="11"/>
      <c r="N13" s="11"/>
      <c r="IB13" s="3"/>
      <c r="IC13" s="3"/>
      <c r="ID13" s="3"/>
      <c r="IE13" s="3"/>
      <c r="IF13" s="3"/>
      <c r="IG13" s="3"/>
      <c r="IH13" s="3"/>
    </row>
    <row r="14" spans="1:247" s="5" customFormat="1" ht="15.75" customHeight="1" x14ac:dyDescent="0.2">
      <c r="A14" s="10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1"/>
      <c r="IB14" s="3"/>
      <c r="IC14" s="3"/>
      <c r="ID14" s="3"/>
      <c r="IE14" s="3"/>
      <c r="IF14" s="3"/>
      <c r="IG14" s="3"/>
      <c r="IH14" s="3"/>
    </row>
    <row r="15" spans="1:247" s="5" customFormat="1" ht="15.75" customHeight="1" x14ac:dyDescent="0.2">
      <c r="A15" s="10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IB15" s="3"/>
      <c r="IC15" s="3"/>
      <c r="ID15" s="3"/>
      <c r="IE15" s="3"/>
      <c r="IF15" s="3"/>
      <c r="IG15" s="3"/>
      <c r="IH15" s="3"/>
    </row>
    <row r="16" spans="1:247" s="5" customFormat="1" ht="15.75" customHeight="1" x14ac:dyDescent="0.2">
      <c r="A16" s="10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IB16" s="3"/>
      <c r="IC16" s="3"/>
      <c r="ID16" s="3"/>
      <c r="IE16" s="3"/>
      <c r="IF16" s="3"/>
      <c r="IG16" s="3"/>
      <c r="IH16" s="3"/>
    </row>
    <row r="17" spans="1:247" s="5" customFormat="1" ht="15.75" customHeight="1" x14ac:dyDescent="0.2">
      <c r="A17" s="756" t="s">
        <v>145</v>
      </c>
      <c r="B17" s="756"/>
      <c r="C17" s="756"/>
      <c r="D17" s="756"/>
      <c r="E17" s="11"/>
      <c r="F17" s="11"/>
      <c r="G17" s="11"/>
      <c r="H17" s="11"/>
      <c r="I17" s="11"/>
      <c r="J17" s="11"/>
      <c r="K17" s="11"/>
      <c r="L17" s="11"/>
      <c r="M17" s="11"/>
      <c r="N17" s="11"/>
      <c r="IB17" s="3"/>
      <c r="IC17" s="3"/>
      <c r="ID17" s="3"/>
      <c r="IE17" s="3"/>
      <c r="IF17" s="3"/>
      <c r="IG17" s="3"/>
      <c r="IH17" s="3"/>
    </row>
    <row r="18" spans="1:247" s="13" customFormat="1" ht="13.5" thickBot="1" x14ac:dyDescent="0.25">
      <c r="B18" s="39"/>
      <c r="C18" s="39"/>
      <c r="D18" s="39"/>
      <c r="E18" s="39"/>
      <c r="F18" s="39"/>
      <c r="G18" s="39"/>
      <c r="H18" s="39"/>
      <c r="I18" s="12"/>
      <c r="J18" s="12"/>
      <c r="K18" s="12"/>
      <c r="L18" s="2"/>
      <c r="M18" s="2"/>
      <c r="O18" s="14"/>
      <c r="P18" s="14"/>
      <c r="IL18" s="9"/>
      <c r="IM18" s="9"/>
    </row>
    <row r="19" spans="1:247" s="15" customFormat="1" ht="15.75" customHeight="1" x14ac:dyDescent="0.2">
      <c r="A19" s="757" t="s">
        <v>113</v>
      </c>
      <c r="B19" s="759" t="s">
        <v>5</v>
      </c>
      <c r="C19" s="740" t="s">
        <v>2</v>
      </c>
      <c r="D19" s="742" t="s">
        <v>259</v>
      </c>
      <c r="E19" s="743"/>
      <c r="F19" s="743"/>
      <c r="G19" s="743"/>
      <c r="H19" s="744"/>
      <c r="I19" s="745" t="s">
        <v>260</v>
      </c>
      <c r="J19" s="746"/>
      <c r="K19" s="746"/>
      <c r="L19" s="746"/>
      <c r="M19" s="747"/>
      <c r="N19" s="750" t="s">
        <v>89</v>
      </c>
      <c r="O19" s="752" t="s">
        <v>90</v>
      </c>
      <c r="P19" s="748" t="s">
        <v>126</v>
      </c>
      <c r="Q19" s="754" t="s">
        <v>106</v>
      </c>
    </row>
    <row r="20" spans="1:247" s="15" customFormat="1" ht="39" thickBot="1" x14ac:dyDescent="0.25">
      <c r="A20" s="758"/>
      <c r="B20" s="760"/>
      <c r="C20" s="741"/>
      <c r="D20" s="195" t="s">
        <v>86</v>
      </c>
      <c r="E20" s="194" t="s">
        <v>134</v>
      </c>
      <c r="F20" s="194" t="s">
        <v>135</v>
      </c>
      <c r="G20" s="194" t="s">
        <v>87</v>
      </c>
      <c r="H20" s="196" t="s">
        <v>88</v>
      </c>
      <c r="I20" s="195" t="s">
        <v>86</v>
      </c>
      <c r="J20" s="194" t="s">
        <v>134</v>
      </c>
      <c r="K20" s="194" t="s">
        <v>135</v>
      </c>
      <c r="L20" s="194" t="s">
        <v>87</v>
      </c>
      <c r="M20" s="196" t="s">
        <v>88</v>
      </c>
      <c r="N20" s="751"/>
      <c r="O20" s="753"/>
      <c r="P20" s="749"/>
      <c r="Q20" s="755"/>
    </row>
    <row r="21" spans="1:247" ht="12.75" customHeight="1" x14ac:dyDescent="0.2">
      <c r="A21" s="765" t="str">
        <f>+'B) Reajuste Tarifas y Ocupación'!A12</f>
        <v>Jardín Infantil Olitas de Mar</v>
      </c>
      <c r="B21" s="768" t="str">
        <f>+'B) Reajuste Tarifas y Ocupación'!B12</f>
        <v>Media jornada</v>
      </c>
      <c r="C21" s="501" t="s">
        <v>261</v>
      </c>
      <c r="D21" s="204">
        <f t="shared" ref="D21:F22" si="3">+I21</f>
        <v>61000</v>
      </c>
      <c r="E21" s="199">
        <f t="shared" si="3"/>
        <v>82300</v>
      </c>
      <c r="F21" s="199">
        <f t="shared" si="3"/>
        <v>85400</v>
      </c>
      <c r="G21" s="199">
        <f t="shared" ref="G21:H22" si="4">+L21</f>
        <v>92200</v>
      </c>
      <c r="H21" s="205">
        <f t="shared" si="4"/>
        <v>148000</v>
      </c>
      <c r="I21" s="204">
        <f>+'B) Reajuste Tarifas y Ocupación'!M12</f>
        <v>61000</v>
      </c>
      <c r="J21" s="199">
        <f>+'B) Reajuste Tarifas y Ocupación'!N12</f>
        <v>82300</v>
      </c>
      <c r="K21" s="199">
        <f>+'B) Reajuste Tarifas y Ocupación'!O12</f>
        <v>85400</v>
      </c>
      <c r="L21" s="199">
        <f>+'B) Reajuste Tarifas y Ocupación'!P12</f>
        <v>92200</v>
      </c>
      <c r="M21" s="205">
        <f>+'B) Reajuste Tarifas y Ocupación'!Q12</f>
        <v>148000</v>
      </c>
      <c r="N21" s="210"/>
      <c r="O21" s="200"/>
      <c r="P21" s="213">
        <f>+'B) Reajuste Tarifas y Ocupación'!C12</f>
        <v>52300</v>
      </c>
      <c r="Q21" s="734"/>
    </row>
    <row r="22" spans="1:247" x14ac:dyDescent="0.2">
      <c r="A22" s="766"/>
      <c r="B22" s="769"/>
      <c r="C22" s="193" t="s">
        <v>7</v>
      </c>
      <c r="D22" s="206">
        <f t="shared" si="3"/>
        <v>1</v>
      </c>
      <c r="E22" s="198">
        <f t="shared" si="3"/>
        <v>0</v>
      </c>
      <c r="F22" s="198">
        <f t="shared" si="3"/>
        <v>0</v>
      </c>
      <c r="G22" s="198">
        <f t="shared" si="4"/>
        <v>0</v>
      </c>
      <c r="H22" s="207">
        <f t="shared" si="4"/>
        <v>0</v>
      </c>
      <c r="I22" s="206">
        <f>+'B) Reajuste Tarifas y Ocupación'!C23</f>
        <v>1</v>
      </c>
      <c r="J22" s="198">
        <f>+'B) Reajuste Tarifas y Ocupación'!D23</f>
        <v>0</v>
      </c>
      <c r="K22" s="198">
        <f>+'B) Reajuste Tarifas y Ocupación'!E23</f>
        <v>0</v>
      </c>
      <c r="L22" s="198">
        <f>+'B) Reajuste Tarifas y Ocupación'!F23</f>
        <v>0</v>
      </c>
      <c r="M22" s="207">
        <f>+'B) Reajuste Tarifas y Ocupación'!G23</f>
        <v>0</v>
      </c>
      <c r="N22" s="211"/>
      <c r="O22" s="197"/>
      <c r="P22" s="214">
        <v>0</v>
      </c>
      <c r="Q22" s="735"/>
    </row>
    <row r="23" spans="1:247" ht="13.5" thickBot="1" x14ac:dyDescent="0.25">
      <c r="A23" s="766"/>
      <c r="B23" s="770"/>
      <c r="C23" s="201" t="s">
        <v>9</v>
      </c>
      <c r="D23" s="208">
        <f>D22*D21</f>
        <v>61000</v>
      </c>
      <c r="E23" s="202">
        <f>E22*E21</f>
        <v>0</v>
      </c>
      <c r="F23" s="202">
        <f t="shared" ref="F23" si="5">F22*F21</f>
        <v>0</v>
      </c>
      <c r="G23" s="202">
        <f t="shared" ref="G23:H23" si="6">G22*G21</f>
        <v>0</v>
      </c>
      <c r="H23" s="209">
        <f t="shared" si="6"/>
        <v>0</v>
      </c>
      <c r="I23" s="276">
        <f>I22*I21*10</f>
        <v>610000</v>
      </c>
      <c r="J23" s="277">
        <f t="shared" ref="J23:M23" si="7">J22*J21*10</f>
        <v>0</v>
      </c>
      <c r="K23" s="277">
        <f t="shared" ref="K23" si="8">K22*K21*10</f>
        <v>0</v>
      </c>
      <c r="L23" s="277">
        <f t="shared" si="7"/>
        <v>0</v>
      </c>
      <c r="M23" s="278">
        <f t="shared" si="7"/>
        <v>0</v>
      </c>
      <c r="N23" s="212">
        <f>SUM(D23:H23)</f>
        <v>61000</v>
      </c>
      <c r="O23" s="203">
        <f>SUM(I23:M23)</f>
        <v>610000</v>
      </c>
      <c r="P23" s="215">
        <f>P22*P21</f>
        <v>0</v>
      </c>
      <c r="Q23" s="216">
        <f>N23+O23+P23</f>
        <v>671000</v>
      </c>
    </row>
    <row r="24" spans="1:247" x14ac:dyDescent="0.2">
      <c r="A24" s="766"/>
      <c r="B24" s="761" t="s">
        <v>205</v>
      </c>
      <c r="C24" s="501" t="s">
        <v>261</v>
      </c>
      <c r="D24" s="204">
        <f t="shared" ref="D24:D25" si="9">+I24</f>
        <v>69600</v>
      </c>
      <c r="E24" s="199">
        <f t="shared" ref="E24:E25" si="10">+J24</f>
        <v>93900</v>
      </c>
      <c r="F24" s="199">
        <f t="shared" ref="F24:F25" si="11">+K24</f>
        <v>97400</v>
      </c>
      <c r="G24" s="199">
        <f t="shared" ref="G24:G25" si="12">+L24</f>
        <v>131800</v>
      </c>
      <c r="H24" s="275">
        <f t="shared" ref="H24:H25" si="13">+M24</f>
        <v>196400</v>
      </c>
      <c r="I24" s="204">
        <f>+'B) Reajuste Tarifas y Ocupación'!M13</f>
        <v>69600</v>
      </c>
      <c r="J24" s="199">
        <f>+'B) Reajuste Tarifas y Ocupación'!N13</f>
        <v>93900</v>
      </c>
      <c r="K24" s="199">
        <f>+'B) Reajuste Tarifas y Ocupación'!O13</f>
        <v>97400</v>
      </c>
      <c r="L24" s="199">
        <f>+'B) Reajuste Tarifas y Ocupación'!P13</f>
        <v>131800</v>
      </c>
      <c r="M24" s="205">
        <f>+'B) Reajuste Tarifas y Ocupación'!Q13</f>
        <v>196400</v>
      </c>
      <c r="N24" s="210"/>
      <c r="O24" s="200"/>
      <c r="P24" s="213">
        <f>+'B) Reajuste Tarifas y Ocupación'!C13</f>
        <v>59700</v>
      </c>
      <c r="Q24" s="734"/>
    </row>
    <row r="25" spans="1:247" x14ac:dyDescent="0.2">
      <c r="A25" s="766"/>
      <c r="B25" s="762"/>
      <c r="C25" s="193" t="s">
        <v>7</v>
      </c>
      <c r="D25" s="206">
        <f t="shared" si="9"/>
        <v>2</v>
      </c>
      <c r="E25" s="198">
        <f t="shared" si="10"/>
        <v>0</v>
      </c>
      <c r="F25" s="198">
        <f t="shared" si="11"/>
        <v>0</v>
      </c>
      <c r="G25" s="198">
        <f t="shared" si="12"/>
        <v>0</v>
      </c>
      <c r="H25" s="279">
        <f t="shared" si="13"/>
        <v>0</v>
      </c>
      <c r="I25" s="206">
        <f>+'B) Reajuste Tarifas y Ocupación'!C24</f>
        <v>2</v>
      </c>
      <c r="J25" s="198">
        <f>+'B) Reajuste Tarifas y Ocupación'!D24</f>
        <v>0</v>
      </c>
      <c r="K25" s="198">
        <f>+'B) Reajuste Tarifas y Ocupación'!E24</f>
        <v>0</v>
      </c>
      <c r="L25" s="198">
        <f>+'B) Reajuste Tarifas y Ocupación'!F24</f>
        <v>0</v>
      </c>
      <c r="M25" s="207">
        <f>+'B) Reajuste Tarifas y Ocupación'!G24</f>
        <v>0</v>
      </c>
      <c r="N25" s="211"/>
      <c r="O25" s="197"/>
      <c r="P25" s="214">
        <v>0</v>
      </c>
      <c r="Q25" s="735"/>
    </row>
    <row r="26" spans="1:247" ht="13.5" thickBot="1" x14ac:dyDescent="0.25">
      <c r="A26" s="766"/>
      <c r="B26" s="763"/>
      <c r="C26" s="201" t="s">
        <v>9</v>
      </c>
      <c r="D26" s="208">
        <f>D25*D24</f>
        <v>139200</v>
      </c>
      <c r="E26" s="202">
        <f>E25*E24</f>
        <v>0</v>
      </c>
      <c r="F26" s="202">
        <f t="shared" ref="F26:H26" si="14">F25*F24</f>
        <v>0</v>
      </c>
      <c r="G26" s="202">
        <f t="shared" si="14"/>
        <v>0</v>
      </c>
      <c r="H26" s="215">
        <f t="shared" si="14"/>
        <v>0</v>
      </c>
      <c r="I26" s="208">
        <f>I25*I24*10</f>
        <v>1392000</v>
      </c>
      <c r="J26" s="202">
        <f t="shared" ref="J26:M26" si="15">J25*J24*10</f>
        <v>0</v>
      </c>
      <c r="K26" s="202">
        <f t="shared" si="15"/>
        <v>0</v>
      </c>
      <c r="L26" s="202">
        <f t="shared" si="15"/>
        <v>0</v>
      </c>
      <c r="M26" s="209">
        <f t="shared" si="15"/>
        <v>0</v>
      </c>
      <c r="N26" s="212">
        <f>SUM(D26:H26)</f>
        <v>139200</v>
      </c>
      <c r="O26" s="203">
        <f>SUM(I26:M26)</f>
        <v>1392000</v>
      </c>
      <c r="P26" s="215">
        <f>P25*P24</f>
        <v>0</v>
      </c>
      <c r="Q26" s="216">
        <f>N26+O26+P26</f>
        <v>1531200</v>
      </c>
    </row>
    <row r="27" spans="1:247" x14ac:dyDescent="0.2">
      <c r="A27" s="766"/>
      <c r="B27" s="768" t="str">
        <f>+'B) Reajuste Tarifas y Ocupación'!B14</f>
        <v>Jornada Completa</v>
      </c>
      <c r="C27" s="501" t="s">
        <v>261</v>
      </c>
      <c r="D27" s="204">
        <f t="shared" ref="D27:F28" si="16">+I27</f>
        <v>109100</v>
      </c>
      <c r="E27" s="199">
        <f t="shared" si="16"/>
        <v>147300</v>
      </c>
      <c r="F27" s="199">
        <f t="shared" si="16"/>
        <v>152700</v>
      </c>
      <c r="G27" s="199">
        <f t="shared" ref="G27:H28" si="17">+L27</f>
        <v>168900</v>
      </c>
      <c r="H27" s="205">
        <f t="shared" si="17"/>
        <v>271400</v>
      </c>
      <c r="I27" s="280">
        <f>+'B) Reajuste Tarifas y Ocupación'!M14</f>
        <v>109100</v>
      </c>
      <c r="J27" s="281">
        <f>+'B) Reajuste Tarifas y Ocupación'!N14</f>
        <v>147300</v>
      </c>
      <c r="K27" s="281">
        <f>+'B) Reajuste Tarifas y Ocupación'!O14</f>
        <v>152700</v>
      </c>
      <c r="L27" s="281">
        <f>+'B) Reajuste Tarifas y Ocupación'!P14</f>
        <v>168900</v>
      </c>
      <c r="M27" s="282">
        <f>+'B) Reajuste Tarifas y Ocupación'!Q14</f>
        <v>271400</v>
      </c>
      <c r="N27" s="210"/>
      <c r="O27" s="200"/>
      <c r="P27" s="213">
        <f>+'B) Reajuste Tarifas y Ocupación'!C14</f>
        <v>93600</v>
      </c>
      <c r="Q27" s="734"/>
    </row>
    <row r="28" spans="1:247" x14ac:dyDescent="0.2">
      <c r="A28" s="766"/>
      <c r="B28" s="769"/>
      <c r="C28" s="193" t="s">
        <v>7</v>
      </c>
      <c r="D28" s="206">
        <f t="shared" si="16"/>
        <v>58</v>
      </c>
      <c r="E28" s="198">
        <f t="shared" si="16"/>
        <v>1</v>
      </c>
      <c r="F28" s="198">
        <f t="shared" si="16"/>
        <v>0</v>
      </c>
      <c r="G28" s="198">
        <f t="shared" si="17"/>
        <v>0</v>
      </c>
      <c r="H28" s="207">
        <f t="shared" si="17"/>
        <v>0</v>
      </c>
      <c r="I28" s="206">
        <f>+'B) Reajuste Tarifas y Ocupación'!C25</f>
        <v>58</v>
      </c>
      <c r="J28" s="198">
        <f>+'B) Reajuste Tarifas y Ocupación'!D25</f>
        <v>1</v>
      </c>
      <c r="K28" s="198">
        <f>+'B) Reajuste Tarifas y Ocupación'!E25</f>
        <v>0</v>
      </c>
      <c r="L28" s="198">
        <f>+'B) Reajuste Tarifas y Ocupación'!F25</f>
        <v>0</v>
      </c>
      <c r="M28" s="207">
        <f>+'B) Reajuste Tarifas y Ocupación'!G25</f>
        <v>0</v>
      </c>
      <c r="N28" s="211"/>
      <c r="O28" s="197"/>
      <c r="P28" s="214">
        <v>30</v>
      </c>
      <c r="Q28" s="735"/>
    </row>
    <row r="29" spans="1:247" ht="13.5" thickBot="1" x14ac:dyDescent="0.25">
      <c r="A29" s="766"/>
      <c r="B29" s="770"/>
      <c r="C29" s="201" t="s">
        <v>9</v>
      </c>
      <c r="D29" s="208">
        <f>D28*D27</f>
        <v>6327800</v>
      </c>
      <c r="E29" s="202">
        <f t="shared" ref="E29:H29" si="18">E28*E27</f>
        <v>147300</v>
      </c>
      <c r="F29" s="202">
        <f t="shared" ref="F29" si="19">F28*F27</f>
        <v>0</v>
      </c>
      <c r="G29" s="202">
        <f t="shared" si="18"/>
        <v>0</v>
      </c>
      <c r="H29" s="209">
        <f t="shared" si="18"/>
        <v>0</v>
      </c>
      <c r="I29" s="208">
        <f t="shared" ref="I29:M29" si="20">I28*I27*10</f>
        <v>63278000</v>
      </c>
      <c r="J29" s="202">
        <f t="shared" si="20"/>
        <v>1473000</v>
      </c>
      <c r="K29" s="202">
        <f t="shared" ref="K29" si="21">K28*K27*10</f>
        <v>0</v>
      </c>
      <c r="L29" s="202">
        <f t="shared" si="20"/>
        <v>0</v>
      </c>
      <c r="M29" s="209">
        <f t="shared" si="20"/>
        <v>0</v>
      </c>
      <c r="N29" s="235">
        <f>SUM(D29:H29)</f>
        <v>6475100</v>
      </c>
      <c r="O29" s="236">
        <f>SUM(I29:M29)</f>
        <v>64751000</v>
      </c>
      <c r="P29" s="237">
        <f>P28*P27</f>
        <v>2808000</v>
      </c>
      <c r="Q29" s="238">
        <f>N29+O29+P29</f>
        <v>74034100</v>
      </c>
    </row>
    <row r="30" spans="1:247" s="9" customFormat="1" ht="15.75" thickBot="1" x14ac:dyDescent="0.25">
      <c r="A30" s="767"/>
      <c r="B30" s="764" t="s">
        <v>10</v>
      </c>
      <c r="C30" s="764"/>
      <c r="D30" s="283">
        <f>+D23+D26+D29</f>
        <v>6528000</v>
      </c>
      <c r="E30" s="283">
        <f t="shared" ref="E30:M30" si="22">+E23+E26+E29</f>
        <v>147300</v>
      </c>
      <c r="F30" s="283">
        <f t="shared" si="22"/>
        <v>0</v>
      </c>
      <c r="G30" s="283">
        <f t="shared" si="22"/>
        <v>0</v>
      </c>
      <c r="H30" s="283">
        <f t="shared" si="22"/>
        <v>0</v>
      </c>
      <c r="I30" s="283">
        <f t="shared" si="22"/>
        <v>65280000</v>
      </c>
      <c r="J30" s="283">
        <f t="shared" si="22"/>
        <v>1473000</v>
      </c>
      <c r="K30" s="283">
        <f t="shared" si="22"/>
        <v>0</v>
      </c>
      <c r="L30" s="283">
        <f t="shared" si="22"/>
        <v>0</v>
      </c>
      <c r="M30" s="283">
        <f t="shared" si="22"/>
        <v>0</v>
      </c>
      <c r="N30" s="672">
        <f>+N23+N26+N29</f>
        <v>6675300</v>
      </c>
      <c r="O30" s="672">
        <f t="shared" ref="O30" si="23">+O23+O26+O29</f>
        <v>66753000</v>
      </c>
      <c r="P30" s="672">
        <f t="shared" ref="P30" si="24">+P23+P26+P29</f>
        <v>2808000</v>
      </c>
      <c r="Q30" s="673">
        <f t="shared" ref="Q30" si="25">+Q23+Q26+Q29</f>
        <v>76236300</v>
      </c>
    </row>
    <row r="31" spans="1:247" s="9" customFormat="1" ht="12.75" customHeight="1" x14ac:dyDescent="0.2">
      <c r="A31" s="773" t="str">
        <f>+'B) Reajuste Tarifas y Ocupación'!A15</f>
        <v>Sala Cuna Olitas de Mar</v>
      </c>
      <c r="B31" s="768" t="str">
        <f>+'B) Reajuste Tarifas y Ocupación'!B15</f>
        <v>Diurna</v>
      </c>
      <c r="C31" s="501" t="s">
        <v>261</v>
      </c>
      <c r="D31" s="343"/>
      <c r="E31" s="344">
        <f t="shared" ref="E31:H32" si="26">+J31</f>
        <v>469000</v>
      </c>
      <c r="F31" s="344">
        <f t="shared" si="26"/>
        <v>486400</v>
      </c>
      <c r="G31" s="344">
        <f t="shared" si="26"/>
        <v>434200</v>
      </c>
      <c r="H31" s="345">
        <f>+M31</f>
        <v>521100</v>
      </c>
      <c r="I31" s="356">
        <f>+'B) Reajuste Tarifas y Ocupación'!M15</f>
        <v>347400</v>
      </c>
      <c r="J31" s="344">
        <f>+'B) Reajuste Tarifas y Ocupación'!N15</f>
        <v>469000</v>
      </c>
      <c r="K31" s="344">
        <f>+'B) Reajuste Tarifas y Ocupación'!O15</f>
        <v>486400</v>
      </c>
      <c r="L31" s="344">
        <f>+'B) Reajuste Tarifas y Ocupación'!P15</f>
        <v>434200</v>
      </c>
      <c r="M31" s="357">
        <f>+'B) Reajuste Tarifas y Ocupación'!Q15</f>
        <v>521100</v>
      </c>
      <c r="N31" s="210"/>
      <c r="O31" s="200"/>
      <c r="P31" s="200"/>
      <c r="Q31" s="734"/>
    </row>
    <row r="32" spans="1:247" s="9" customFormat="1" ht="12.75" customHeight="1" x14ac:dyDescent="0.2">
      <c r="A32" s="774"/>
      <c r="B32" s="769"/>
      <c r="C32" s="193" t="s">
        <v>7</v>
      </c>
      <c r="D32" s="346"/>
      <c r="E32" s="347">
        <f t="shared" si="26"/>
        <v>0</v>
      </c>
      <c r="F32" s="347">
        <f t="shared" si="26"/>
        <v>0</v>
      </c>
      <c r="G32" s="347">
        <f t="shared" si="26"/>
        <v>0</v>
      </c>
      <c r="H32" s="348">
        <f t="shared" si="26"/>
        <v>0</v>
      </c>
      <c r="I32" s="358">
        <f>+'B) Reajuste Tarifas y Ocupación'!C26</f>
        <v>10</v>
      </c>
      <c r="J32" s="347">
        <f>+'B) Reajuste Tarifas y Ocupación'!D26</f>
        <v>0</v>
      </c>
      <c r="K32" s="347">
        <f>+'B) Reajuste Tarifas y Ocupación'!E26</f>
        <v>0</v>
      </c>
      <c r="L32" s="347">
        <f>+'B) Reajuste Tarifas y Ocupación'!F26</f>
        <v>0</v>
      </c>
      <c r="M32" s="359">
        <f>+'B) Reajuste Tarifas y Ocupación'!G26</f>
        <v>0</v>
      </c>
      <c r="N32" s="211"/>
      <c r="O32" s="197"/>
      <c r="P32" s="197"/>
      <c r="Q32" s="735"/>
    </row>
    <row r="33" spans="1:17" s="9" customFormat="1" ht="13.5" customHeight="1" thickBot="1" x14ac:dyDescent="0.25">
      <c r="A33" s="774"/>
      <c r="B33" s="770"/>
      <c r="C33" s="201" t="s">
        <v>9</v>
      </c>
      <c r="D33" s="349">
        <f>D32*D31</f>
        <v>0</v>
      </c>
      <c r="E33" s="350">
        <f>E32*E31</f>
        <v>0</v>
      </c>
      <c r="F33" s="350">
        <f t="shared" ref="F33:H33" si="27">F32*F31</f>
        <v>0</v>
      </c>
      <c r="G33" s="350">
        <f t="shared" si="27"/>
        <v>0</v>
      </c>
      <c r="H33" s="351">
        <f t="shared" si="27"/>
        <v>0</v>
      </c>
      <c r="I33" s="349">
        <f>I32*I31*12</f>
        <v>41688000</v>
      </c>
      <c r="J33" s="350">
        <f t="shared" ref="J33:M33" si="28">J32*J31*12</f>
        <v>0</v>
      </c>
      <c r="K33" s="350">
        <f t="shared" si="28"/>
        <v>0</v>
      </c>
      <c r="L33" s="350">
        <f t="shared" si="28"/>
        <v>0</v>
      </c>
      <c r="M33" s="365">
        <f t="shared" si="28"/>
        <v>0</v>
      </c>
      <c r="N33" s="212">
        <f>SUM(D33:H33)</f>
        <v>0</v>
      </c>
      <c r="O33" s="203">
        <f>SUM(I33:M33)</f>
        <v>41688000</v>
      </c>
      <c r="P33" s="215">
        <f>P32*P31</f>
        <v>0</v>
      </c>
      <c r="Q33" s="216">
        <f>N33+O33+P33</f>
        <v>41688000</v>
      </c>
    </row>
    <row r="34" spans="1:17" s="9" customFormat="1" ht="12.75" customHeight="1" x14ac:dyDescent="0.2">
      <c r="A34" s="774"/>
      <c r="B34" s="768" t="str">
        <f>+'B) Reajuste Tarifas y Ocupación'!B16</f>
        <v>Nocturna</v>
      </c>
      <c r="C34" s="501" t="s">
        <v>261</v>
      </c>
      <c r="D34" s="346"/>
      <c r="E34" s="352"/>
      <c r="F34" s="352"/>
      <c r="G34" s="352"/>
      <c r="H34" s="353"/>
      <c r="I34" s="367"/>
      <c r="J34" s="368"/>
      <c r="K34" s="368"/>
      <c r="L34" s="368"/>
      <c r="M34" s="369"/>
      <c r="N34" s="210"/>
      <c r="O34" s="200"/>
      <c r="P34" s="200"/>
      <c r="Q34" s="734"/>
    </row>
    <row r="35" spans="1:17" s="9" customFormat="1" ht="12.75" customHeight="1" x14ac:dyDescent="0.2">
      <c r="A35" s="774"/>
      <c r="B35" s="769"/>
      <c r="C35" s="193" t="s">
        <v>7</v>
      </c>
      <c r="D35" s="346"/>
      <c r="E35" s="354">
        <f t="shared" ref="E35:H35" si="29">+J35</f>
        <v>0</v>
      </c>
      <c r="F35" s="354">
        <f t="shared" si="29"/>
        <v>0</v>
      </c>
      <c r="G35" s="354">
        <f t="shared" si="29"/>
        <v>0</v>
      </c>
      <c r="H35" s="355">
        <f t="shared" si="29"/>
        <v>0</v>
      </c>
      <c r="I35" s="363">
        <f>+'[1]B) Reajuste Tarifas y Ocupación'!C27</f>
        <v>0</v>
      </c>
      <c r="J35" s="354">
        <f>+'[1]B) Reajuste Tarifas y Ocupación'!D27</f>
        <v>0</v>
      </c>
      <c r="K35" s="354">
        <f>+'[1]B) Reajuste Tarifas y Ocupación'!E27</f>
        <v>0</v>
      </c>
      <c r="L35" s="354">
        <f>+'[1]B) Reajuste Tarifas y Ocupación'!F27</f>
        <v>0</v>
      </c>
      <c r="M35" s="364">
        <f>+'[1]B) Reajuste Tarifas y Ocupación'!G27</f>
        <v>0</v>
      </c>
      <c r="N35" s="211"/>
      <c r="O35" s="197"/>
      <c r="P35" s="197"/>
      <c r="Q35" s="735"/>
    </row>
    <row r="36" spans="1:17" s="9" customFormat="1" ht="13.5" customHeight="1" thickBot="1" x14ac:dyDescent="0.25">
      <c r="A36" s="774"/>
      <c r="B36" s="770"/>
      <c r="C36" s="201" t="s">
        <v>9</v>
      </c>
      <c r="D36" s="349">
        <f>D35*D34</f>
        <v>0</v>
      </c>
      <c r="E36" s="350">
        <f>E35*E34</f>
        <v>0</v>
      </c>
      <c r="F36" s="350">
        <f t="shared" ref="F36:G36" si="30">F35*F34</f>
        <v>0</v>
      </c>
      <c r="G36" s="350">
        <f t="shared" si="30"/>
        <v>0</v>
      </c>
      <c r="H36" s="351">
        <f>H35*H34</f>
        <v>0</v>
      </c>
      <c r="I36" s="360">
        <f>I35*I34*12</f>
        <v>0</v>
      </c>
      <c r="J36" s="361">
        <f t="shared" ref="J36:M36" si="31">J35*J34*12</f>
        <v>0</v>
      </c>
      <c r="K36" s="361">
        <f t="shared" si="31"/>
        <v>0</v>
      </c>
      <c r="L36" s="361">
        <f t="shared" si="31"/>
        <v>0</v>
      </c>
      <c r="M36" s="362">
        <f t="shared" si="31"/>
        <v>0</v>
      </c>
      <c r="N36" s="212">
        <f>SUM(D36:H36)</f>
        <v>0</v>
      </c>
      <c r="O36" s="203">
        <f>SUM(I36:M36)</f>
        <v>0</v>
      </c>
      <c r="P36" s="215">
        <f>P35*P34</f>
        <v>0</v>
      </c>
      <c r="Q36" s="216">
        <f>N36+O36+P36</f>
        <v>0</v>
      </c>
    </row>
    <row r="37" spans="1:17" s="9" customFormat="1" ht="12.75" customHeight="1" x14ac:dyDescent="0.2">
      <c r="A37" s="774"/>
      <c r="B37" s="768" t="str">
        <f>+'B) Reajuste Tarifas y Ocupación'!B17</f>
        <v>Media Jornada</v>
      </c>
      <c r="C37" s="501" t="s">
        <v>261</v>
      </c>
      <c r="D37" s="346"/>
      <c r="E37" s="344">
        <f t="shared" ref="E37:H38" si="32">+J37</f>
        <v>281500</v>
      </c>
      <c r="F37" s="344">
        <f t="shared" si="32"/>
        <v>292000</v>
      </c>
      <c r="G37" s="344">
        <f t="shared" si="32"/>
        <v>312700</v>
      </c>
      <c r="H37" s="345">
        <f>+M37</f>
        <v>416900</v>
      </c>
      <c r="I37" s="356">
        <f>+'B) Reajuste Tarifas y Ocupación'!M17</f>
        <v>208600</v>
      </c>
      <c r="J37" s="344">
        <f>+'B) Reajuste Tarifas y Ocupación'!N17</f>
        <v>281500</v>
      </c>
      <c r="K37" s="344">
        <f>+'B) Reajuste Tarifas y Ocupación'!O17</f>
        <v>292000</v>
      </c>
      <c r="L37" s="344">
        <f>+'B) Reajuste Tarifas y Ocupación'!P17</f>
        <v>312700</v>
      </c>
      <c r="M37" s="357">
        <f>+'B) Reajuste Tarifas y Ocupación'!Q17</f>
        <v>416900</v>
      </c>
      <c r="N37" s="310"/>
      <c r="O37" s="312"/>
      <c r="P37" s="312"/>
      <c r="Q37" s="734"/>
    </row>
    <row r="38" spans="1:17" s="9" customFormat="1" ht="12.75" customHeight="1" x14ac:dyDescent="0.2">
      <c r="A38" s="774"/>
      <c r="B38" s="769"/>
      <c r="C38" s="193" t="s">
        <v>7</v>
      </c>
      <c r="D38" s="346"/>
      <c r="E38" s="347">
        <f t="shared" si="32"/>
        <v>0</v>
      </c>
      <c r="F38" s="347">
        <f t="shared" si="32"/>
        <v>0</v>
      </c>
      <c r="G38" s="347">
        <f t="shared" si="32"/>
        <v>0</v>
      </c>
      <c r="H38" s="348">
        <f t="shared" si="32"/>
        <v>0</v>
      </c>
      <c r="I38" s="358">
        <f>+'B) Reajuste Tarifas y Ocupación'!C28</f>
        <v>0</v>
      </c>
      <c r="J38" s="347">
        <f>+'B) Reajuste Tarifas y Ocupación'!D28</f>
        <v>0</v>
      </c>
      <c r="K38" s="347">
        <f>+'B) Reajuste Tarifas y Ocupación'!E28</f>
        <v>0</v>
      </c>
      <c r="L38" s="347">
        <f>+'B) Reajuste Tarifas y Ocupación'!F28</f>
        <v>0</v>
      </c>
      <c r="M38" s="359">
        <f>+'B) Reajuste Tarifas y Ocupación'!G28</f>
        <v>0</v>
      </c>
      <c r="N38" s="315"/>
      <c r="O38" s="314"/>
      <c r="P38" s="314"/>
      <c r="Q38" s="735"/>
    </row>
    <row r="39" spans="1:17" s="9" customFormat="1" ht="13.5" customHeight="1" thickBot="1" x14ac:dyDescent="0.25">
      <c r="A39" s="774"/>
      <c r="B39" s="770"/>
      <c r="C39" s="201" t="s">
        <v>9</v>
      </c>
      <c r="D39" s="349">
        <f>D38*D37</f>
        <v>0</v>
      </c>
      <c r="E39" s="350">
        <f>E38*E37</f>
        <v>0</v>
      </c>
      <c r="F39" s="350">
        <f t="shared" ref="F39:H39" si="33">F38*F37</f>
        <v>0</v>
      </c>
      <c r="G39" s="350">
        <f t="shared" si="33"/>
        <v>0</v>
      </c>
      <c r="H39" s="351">
        <f t="shared" si="33"/>
        <v>0</v>
      </c>
      <c r="I39" s="349">
        <f>I38*I37*12</f>
        <v>0</v>
      </c>
      <c r="J39" s="350">
        <f t="shared" ref="J39:M39" si="34">J38*J37*12</f>
        <v>0</v>
      </c>
      <c r="K39" s="350">
        <f t="shared" si="34"/>
        <v>0</v>
      </c>
      <c r="L39" s="350">
        <f t="shared" si="34"/>
        <v>0</v>
      </c>
      <c r="M39" s="365">
        <f t="shared" si="34"/>
        <v>0</v>
      </c>
      <c r="N39" s="212">
        <f>SUM(D39:H39)</f>
        <v>0</v>
      </c>
      <c r="O39" s="203">
        <f>SUM(I39:M39)</f>
        <v>0</v>
      </c>
      <c r="P39" s="202">
        <f>P38*P37</f>
        <v>0</v>
      </c>
      <c r="Q39" s="313">
        <f>N39+O39+P39</f>
        <v>0</v>
      </c>
    </row>
    <row r="40" spans="1:17" s="9" customFormat="1" ht="15.75" customHeight="1" thickBot="1" x14ac:dyDescent="0.25">
      <c r="A40" s="775"/>
      <c r="B40" s="764" t="s">
        <v>10</v>
      </c>
      <c r="C40" s="764"/>
      <c r="D40" s="283">
        <f>+D33+D39+D36</f>
        <v>0</v>
      </c>
      <c r="E40" s="283">
        <f t="shared" ref="E40:P40" si="35">+E33+E39+E36</f>
        <v>0</v>
      </c>
      <c r="F40" s="283">
        <f>+F33+F39+F36</f>
        <v>0</v>
      </c>
      <c r="G40" s="283">
        <f t="shared" si="35"/>
        <v>0</v>
      </c>
      <c r="H40" s="283">
        <f t="shared" si="35"/>
        <v>0</v>
      </c>
      <c r="I40" s="283">
        <f>+I33+I39+I36</f>
        <v>41688000</v>
      </c>
      <c r="J40" s="283">
        <f>+J33+J39+J36</f>
        <v>0</v>
      </c>
      <c r="K40" s="283">
        <f t="shared" si="35"/>
        <v>0</v>
      </c>
      <c r="L40" s="283">
        <f t="shared" si="35"/>
        <v>0</v>
      </c>
      <c r="M40" s="283">
        <f>+M33+M39+M36</f>
        <v>0</v>
      </c>
      <c r="N40" s="283">
        <f t="shared" si="35"/>
        <v>0</v>
      </c>
      <c r="O40" s="283">
        <f t="shared" si="35"/>
        <v>41688000</v>
      </c>
      <c r="P40" s="283">
        <f t="shared" si="35"/>
        <v>0</v>
      </c>
      <c r="Q40" s="283">
        <f>+Q33+Q39+Q36</f>
        <v>41688000</v>
      </c>
    </row>
    <row r="41" spans="1:17" ht="15" customHeight="1" thickBot="1" x14ac:dyDescent="0.25">
      <c r="A41" s="771" t="s">
        <v>8</v>
      </c>
      <c r="B41" s="772"/>
      <c r="C41" s="772"/>
      <c r="D41" s="284">
        <f>+D30+D40</f>
        <v>6528000</v>
      </c>
      <c r="E41" s="284">
        <f t="shared" ref="E41:Q41" si="36">+E30+E40</f>
        <v>147300</v>
      </c>
      <c r="F41" s="284">
        <f t="shared" si="36"/>
        <v>0</v>
      </c>
      <c r="G41" s="284">
        <f t="shared" si="36"/>
        <v>0</v>
      </c>
      <c r="H41" s="284">
        <f t="shared" si="36"/>
        <v>0</v>
      </c>
      <c r="I41" s="284">
        <f t="shared" si="36"/>
        <v>106968000</v>
      </c>
      <c r="J41" s="284">
        <f t="shared" si="36"/>
        <v>1473000</v>
      </c>
      <c r="K41" s="284">
        <f t="shared" si="36"/>
        <v>0</v>
      </c>
      <c r="L41" s="284">
        <f t="shared" si="36"/>
        <v>0</v>
      </c>
      <c r="M41" s="284">
        <f t="shared" si="36"/>
        <v>0</v>
      </c>
      <c r="N41" s="284">
        <f t="shared" si="36"/>
        <v>6675300</v>
      </c>
      <c r="O41" s="284">
        <f t="shared" si="36"/>
        <v>108441000</v>
      </c>
      <c r="P41" s="284">
        <f t="shared" si="36"/>
        <v>2808000</v>
      </c>
      <c r="Q41" s="284">
        <f t="shared" si="36"/>
        <v>117924300</v>
      </c>
    </row>
  </sheetData>
  <sheetProtection algorithmName="SHA-512" hashValue="JKAFSF6VapOc7OKsYJJisZw+bnF4iFwAcdWLHZ6b+63ul6MS+1bktUgTzm7LcdBsDfLUaJFXe+FF64KV1Lmt5w==" saltValue="3JkDAjGF6SIf4qxB9QdKJA==" spinCount="100000" sheet="1" objects="1" scenarios="1"/>
  <mergeCells count="30">
    <mergeCell ref="Q31:Q32"/>
    <mergeCell ref="B34:B36"/>
    <mergeCell ref="Q34:Q35"/>
    <mergeCell ref="B37:B39"/>
    <mergeCell ref="Q37:Q38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</mergeCells>
  <phoneticPr fontId="33" type="noConversion"/>
  <conditionalFormatting sqref="C13:N13 E17:N17 B9:I9 B12:I12 B10:C11 E10:I11 D14:N16">
    <cfRule type="cellIs" dxfId="5" priority="8" stopIfTrue="1" operator="lessThan">
      <formula>0</formula>
    </cfRule>
  </conditionalFormatting>
  <conditionalFormatting sqref="D10:D11">
    <cfRule type="cellIs" dxfId="4" priority="1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2:H22 D21:H21 J21 D27:Q27 I23:Q23 J22:O22 L21:Q21 Q22 E29:Q29 D28:O28 Q28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8"/>
  <sheetViews>
    <sheetView showGridLines="0" topLeftCell="B1" zoomScale="80" zoomScaleNormal="80" workbookViewId="0">
      <selection activeCell="Q30" sqref="Q30"/>
    </sheetView>
  </sheetViews>
  <sheetFormatPr baseColWidth="10" defaultColWidth="11.42578125" defaultRowHeight="12.75" x14ac:dyDescent="0.2"/>
  <cols>
    <col min="1" max="1" width="56.5703125" style="37" customWidth="1"/>
    <col min="2" max="2" width="33.85546875" style="28" customWidth="1"/>
    <col min="3" max="3" width="12.28515625" style="37" customWidth="1"/>
    <col min="4" max="4" width="13.7109375" style="37" bestFit="1" customWidth="1"/>
    <col min="5" max="5" width="15.5703125" style="37" bestFit="1" customWidth="1"/>
    <col min="6" max="6" width="14.5703125" style="37" customWidth="1"/>
    <col min="7" max="7" width="14.85546875" style="37" customWidth="1"/>
    <col min="8" max="8" width="11.85546875" style="37" bestFit="1" customWidth="1"/>
    <col min="9" max="9" width="14.5703125" style="37" bestFit="1" customWidth="1"/>
    <col min="10" max="10" width="14.5703125" style="37" customWidth="1"/>
    <col min="11" max="12" width="11.85546875" style="37" customWidth="1"/>
    <col min="13" max="13" width="14" style="37" customWidth="1"/>
    <col min="14" max="15" width="14.5703125" style="37" customWidth="1"/>
    <col min="16" max="16" width="11.85546875" style="37" customWidth="1"/>
    <col min="17" max="17" width="14" style="37" customWidth="1"/>
    <col min="18" max="18" width="11.85546875" style="28" customWidth="1"/>
    <col min="19" max="19" width="32.7109375" style="37" customWidth="1"/>
    <col min="20" max="20" width="33" style="28" bestFit="1" customWidth="1"/>
    <col min="21" max="21" width="13.85546875" style="37" customWidth="1"/>
    <col min="22" max="22" width="14.5703125" style="37" bestFit="1" customWidth="1"/>
    <col min="23" max="23" width="14.5703125" style="37" customWidth="1"/>
    <col min="24" max="24" width="12.85546875" style="37" bestFit="1" customWidth="1"/>
    <col min="25" max="16384" width="11.42578125" style="37"/>
  </cols>
  <sheetData>
    <row r="1" spans="1:256" s="5" customFormat="1" x14ac:dyDescent="0.2">
      <c r="A1" s="4"/>
      <c r="C1" s="6"/>
      <c r="D1" s="6"/>
      <c r="E1" s="6"/>
      <c r="F1" s="36" t="s">
        <v>199</v>
      </c>
      <c r="G1" s="6"/>
      <c r="R1" s="13"/>
      <c r="S1" s="4"/>
      <c r="IU1" s="3"/>
      <c r="IV1" s="3"/>
    </row>
    <row r="2" spans="1:256" s="5" customFormat="1" x14ac:dyDescent="0.2">
      <c r="A2" s="7"/>
      <c r="C2" s="6"/>
      <c r="D2" s="6"/>
      <c r="E2" s="6"/>
      <c r="F2" s="36" t="s">
        <v>192</v>
      </c>
      <c r="G2" s="6"/>
      <c r="R2" s="13"/>
      <c r="S2" s="7"/>
      <c r="V2" s="6"/>
      <c r="W2" s="6"/>
      <c r="X2" s="6"/>
      <c r="IU2" s="3"/>
      <c r="IV2" s="3"/>
    </row>
    <row r="3" spans="1:256" s="5" customFormat="1" x14ac:dyDescent="0.2">
      <c r="A3" s="3"/>
      <c r="R3" s="13"/>
      <c r="S3" s="3"/>
      <c r="IU3" s="3"/>
      <c r="IV3" s="3"/>
    </row>
    <row r="4" spans="1:256" s="5" customFormat="1" ht="13.5" thickBot="1" x14ac:dyDescent="0.25">
      <c r="A4" s="21"/>
      <c r="B4" s="22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9"/>
      <c r="S4" s="21"/>
      <c r="T4" s="22"/>
      <c r="U4" s="6"/>
      <c r="V4" s="6"/>
      <c r="W4" s="6"/>
      <c r="X4" s="6"/>
      <c r="Y4" s="6"/>
      <c r="IL4" s="3"/>
      <c r="IM4" s="3"/>
      <c r="IN4" s="3"/>
      <c r="IO4" s="3"/>
      <c r="IP4" s="3"/>
      <c r="IQ4" s="3"/>
    </row>
    <row r="5" spans="1:256" s="5" customFormat="1" ht="18" customHeight="1" thickBot="1" x14ac:dyDescent="0.25">
      <c r="A5" s="21"/>
      <c r="B5" s="22"/>
      <c r="C5" s="736" t="s">
        <v>0</v>
      </c>
      <c r="D5" s="812"/>
      <c r="E5" s="72"/>
      <c r="F5" s="795" t="s">
        <v>123</v>
      </c>
      <c r="G5" s="796"/>
      <c r="R5" s="13"/>
      <c r="S5" s="21"/>
      <c r="T5" s="22"/>
      <c r="V5" s="2"/>
      <c r="W5" s="2"/>
      <c r="IL5" s="3"/>
      <c r="IM5" s="3"/>
      <c r="IN5" s="3"/>
      <c r="IO5" s="3"/>
      <c r="IP5" s="3"/>
      <c r="IQ5" s="3"/>
    </row>
    <row r="6" spans="1:256" s="5" customFormat="1" ht="18" customHeight="1" x14ac:dyDescent="0.2">
      <c r="A6" s="21"/>
      <c r="B6" s="22"/>
      <c r="C6" s="72"/>
      <c r="D6" s="72"/>
      <c r="E6" s="72"/>
      <c r="F6" s="75"/>
      <c r="G6" s="75"/>
      <c r="R6" s="13"/>
      <c r="S6" s="21"/>
      <c r="T6" s="22"/>
      <c r="V6" s="2"/>
      <c r="W6" s="2"/>
      <c r="IL6" s="3"/>
      <c r="IM6" s="3"/>
      <c r="IN6" s="3"/>
      <c r="IO6" s="3"/>
      <c r="IP6" s="3"/>
      <c r="IQ6" s="3"/>
    </row>
    <row r="7" spans="1:256" s="5" customFormat="1" ht="18" customHeight="1" x14ac:dyDescent="0.2">
      <c r="A7" s="21"/>
      <c r="B7" s="22"/>
      <c r="C7" s="72"/>
      <c r="D7" s="72"/>
      <c r="E7" s="72"/>
      <c r="F7" s="75"/>
      <c r="G7" s="75"/>
      <c r="R7" s="13"/>
      <c r="S7" s="21"/>
      <c r="T7" s="22"/>
      <c r="V7" s="43"/>
      <c r="W7" s="43"/>
      <c r="IL7" s="3"/>
      <c r="IM7" s="3"/>
      <c r="IN7" s="3"/>
      <c r="IO7" s="3"/>
      <c r="IP7" s="3"/>
      <c r="IQ7" s="3"/>
    </row>
    <row r="8" spans="1:256" s="13" customFormat="1" ht="15.75" x14ac:dyDescent="0.2">
      <c r="A8" s="782" t="s">
        <v>146</v>
      </c>
      <c r="B8" s="782"/>
      <c r="C8" s="782"/>
      <c r="D8" s="782"/>
      <c r="E8" s="73"/>
      <c r="F8" s="75"/>
      <c r="G8" s="75"/>
      <c r="IL8" s="9"/>
      <c r="IM8" s="9"/>
      <c r="IN8" s="9"/>
      <c r="IO8" s="9"/>
      <c r="IP8" s="9"/>
      <c r="IQ8" s="9"/>
    </row>
    <row r="9" spans="1:256" ht="13.5" customHeight="1" thickBot="1" x14ac:dyDescent="0.25"/>
    <row r="10" spans="1:256" ht="15.75" customHeight="1" x14ac:dyDescent="0.2">
      <c r="A10" s="804" t="s">
        <v>133</v>
      </c>
      <c r="B10" s="800" t="s">
        <v>5</v>
      </c>
      <c r="C10" s="802" t="s">
        <v>230</v>
      </c>
      <c r="D10" s="780"/>
      <c r="E10" s="780"/>
      <c r="F10" s="780"/>
      <c r="G10" s="803"/>
      <c r="H10" s="783" t="s">
        <v>108</v>
      </c>
      <c r="I10" s="784"/>
      <c r="J10" s="784"/>
      <c r="K10" s="784"/>
      <c r="L10" s="785"/>
      <c r="M10" s="779" t="s">
        <v>262</v>
      </c>
      <c r="N10" s="780"/>
      <c r="O10" s="780"/>
      <c r="P10" s="780"/>
      <c r="Q10" s="781"/>
      <c r="R10" s="16"/>
    </row>
    <row r="11" spans="1:256" ht="94.5" customHeight="1" thickBot="1" x14ac:dyDescent="0.25">
      <c r="A11" s="805"/>
      <c r="B11" s="801"/>
      <c r="C11" s="578" t="s">
        <v>86</v>
      </c>
      <c r="D11" s="579" t="s">
        <v>134</v>
      </c>
      <c r="E11" s="579" t="s">
        <v>135</v>
      </c>
      <c r="F11" s="579" t="s">
        <v>87</v>
      </c>
      <c r="G11" s="580" t="s">
        <v>88</v>
      </c>
      <c r="H11" s="581" t="s">
        <v>86</v>
      </c>
      <c r="I11" s="582" t="s">
        <v>134</v>
      </c>
      <c r="J11" s="582" t="s">
        <v>135</v>
      </c>
      <c r="K11" s="583" t="s">
        <v>87</v>
      </c>
      <c r="L11" s="584" t="s">
        <v>88</v>
      </c>
      <c r="M11" s="590" t="s">
        <v>86</v>
      </c>
      <c r="N11" s="579" t="s">
        <v>134</v>
      </c>
      <c r="O11" s="579" t="s">
        <v>135</v>
      </c>
      <c r="P11" s="579" t="s">
        <v>87</v>
      </c>
      <c r="Q11" s="585" t="s">
        <v>88</v>
      </c>
      <c r="R11" s="16"/>
    </row>
    <row r="12" spans="1:256" ht="13.5" customHeight="1" thickBot="1" x14ac:dyDescent="0.25">
      <c r="A12" s="786" t="s">
        <v>208</v>
      </c>
      <c r="B12" s="521" t="s">
        <v>127</v>
      </c>
      <c r="C12" s="524">
        <v>52300</v>
      </c>
      <c r="D12" s="525">
        <v>62700</v>
      </c>
      <c r="E12" s="525">
        <v>62700</v>
      </c>
      <c r="F12" s="525">
        <v>79100</v>
      </c>
      <c r="G12" s="586">
        <v>127000</v>
      </c>
      <c r="H12" s="591">
        <v>0.16500000000000001</v>
      </c>
      <c r="I12" s="526">
        <f>+H12</f>
        <v>0.16500000000000001</v>
      </c>
      <c r="J12" s="526">
        <f>+H12</f>
        <v>0.16500000000000001</v>
      </c>
      <c r="K12" s="526">
        <f>+H12</f>
        <v>0.16500000000000001</v>
      </c>
      <c r="L12" s="720">
        <f>+H12</f>
        <v>0.16500000000000001</v>
      </c>
      <c r="M12" s="724">
        <f>CEILING(C12*(1+H12),100)</f>
        <v>61000</v>
      </c>
      <c r="N12" s="515">
        <f>+CEILING(C12*(1.35)*(1+I12),100)</f>
        <v>82300</v>
      </c>
      <c r="O12" s="515">
        <f>+CEILING(C12*(1.4)*(1+J12),100)</f>
        <v>85400</v>
      </c>
      <c r="P12" s="515">
        <f>+CEILING(F12*(1+K12),100)</f>
        <v>92200</v>
      </c>
      <c r="Q12" s="516">
        <f>+CEILING(G12*(1+L12),100)</f>
        <v>148000</v>
      </c>
      <c r="R12" s="58"/>
    </row>
    <row r="13" spans="1:256" ht="13.5" customHeight="1" thickBot="1" x14ac:dyDescent="0.25">
      <c r="A13" s="787"/>
      <c r="B13" s="522" t="s">
        <v>205</v>
      </c>
      <c r="C13" s="527">
        <v>59700</v>
      </c>
      <c r="D13" s="520">
        <v>71600</v>
      </c>
      <c r="E13" s="520">
        <v>71600</v>
      </c>
      <c r="F13" s="520">
        <v>113100</v>
      </c>
      <c r="G13" s="587">
        <v>168500</v>
      </c>
      <c r="H13" s="591">
        <v>0.16500000000000001</v>
      </c>
      <c r="I13" s="519">
        <f>+H13</f>
        <v>0.16500000000000001</v>
      </c>
      <c r="J13" s="519">
        <f>+H13</f>
        <v>0.16500000000000001</v>
      </c>
      <c r="K13" s="519">
        <f>+H13</f>
        <v>0.16500000000000001</v>
      </c>
      <c r="L13" s="721">
        <f>+H13</f>
        <v>0.16500000000000001</v>
      </c>
      <c r="M13" s="725">
        <f>CEILING(C13*(1+H13),100)</f>
        <v>69600</v>
      </c>
      <c r="N13" s="517">
        <f t="shared" ref="N13:N14" si="0">+CEILING(C13*(1.35)*(1+I13),100)</f>
        <v>93900</v>
      </c>
      <c r="O13" s="517">
        <f t="shared" ref="O13:O14" si="1">+CEILING(C13*(1.4)*(1+J13),100)</f>
        <v>97400</v>
      </c>
      <c r="P13" s="517">
        <f>+CEILING(F13*(1+K13),100)</f>
        <v>131800</v>
      </c>
      <c r="Q13" s="518">
        <f>+CEILING(G13*(1+L13),100)</f>
        <v>196400</v>
      </c>
      <c r="R13" s="58"/>
    </row>
    <row r="14" spans="1:256" ht="13.5" customHeight="1" thickBot="1" x14ac:dyDescent="0.25">
      <c r="A14" s="788"/>
      <c r="B14" s="523" t="s">
        <v>206</v>
      </c>
      <c r="C14" s="576">
        <v>93600</v>
      </c>
      <c r="D14" s="577">
        <v>112300</v>
      </c>
      <c r="E14" s="577">
        <v>112300</v>
      </c>
      <c r="F14" s="577">
        <v>144900</v>
      </c>
      <c r="G14" s="588">
        <v>232900</v>
      </c>
      <c r="H14" s="591">
        <v>0.16500000000000001</v>
      </c>
      <c r="I14" s="239">
        <f t="shared" ref="I14" si="2">+H14</f>
        <v>0.16500000000000001</v>
      </c>
      <c r="J14" s="239">
        <f t="shared" ref="J14" si="3">+H14</f>
        <v>0.16500000000000001</v>
      </c>
      <c r="K14" s="239">
        <f t="shared" ref="K14" si="4">+H14</f>
        <v>0.16500000000000001</v>
      </c>
      <c r="L14" s="722">
        <f t="shared" ref="L14" si="5">+H14</f>
        <v>0.16500000000000001</v>
      </c>
      <c r="M14" s="726">
        <f t="shared" ref="M14:M17" si="6">CEILING(C14*(1+H14),100)</f>
        <v>109100</v>
      </c>
      <c r="N14" s="528">
        <f t="shared" si="0"/>
        <v>147300</v>
      </c>
      <c r="O14" s="528">
        <f t="shared" si="1"/>
        <v>152700</v>
      </c>
      <c r="P14" s="528">
        <f t="shared" ref="P14:P15" si="7">+CEILING(F14*(1+K14),100)</f>
        <v>168900</v>
      </c>
      <c r="Q14" s="529">
        <f t="shared" ref="Q14" si="8">+CEILING(G14*(1+L14),100)</f>
        <v>271400</v>
      </c>
    </row>
    <row r="15" spans="1:256" ht="12.75" customHeight="1" x14ac:dyDescent="0.2">
      <c r="A15" s="810" t="s">
        <v>220</v>
      </c>
      <c r="B15" s="569" t="s">
        <v>223</v>
      </c>
      <c r="C15" s="570">
        <v>327700</v>
      </c>
      <c r="D15" s="571">
        <v>393300</v>
      </c>
      <c r="E15" s="571">
        <v>393300</v>
      </c>
      <c r="F15" s="571">
        <v>409600</v>
      </c>
      <c r="G15" s="589">
        <v>491600</v>
      </c>
      <c r="H15" s="594">
        <v>0.06</v>
      </c>
      <c r="I15" s="572">
        <f>+H15</f>
        <v>0.06</v>
      </c>
      <c r="J15" s="572">
        <f t="shared" ref="J15" si="9">+H15</f>
        <v>0.06</v>
      </c>
      <c r="K15" s="572">
        <f t="shared" ref="K15" si="10">+H15</f>
        <v>0.06</v>
      </c>
      <c r="L15" s="595">
        <f t="shared" ref="L15" si="11">+H15</f>
        <v>0.06</v>
      </c>
      <c r="M15" s="573">
        <f t="shared" si="6"/>
        <v>347400</v>
      </c>
      <c r="N15" s="723">
        <f>+CEILING(C15*(1.35)*(1+I15),100)</f>
        <v>469000</v>
      </c>
      <c r="O15" s="723">
        <f>+CEILING(C15*(1.4)*(1+J15),100)</f>
        <v>486400</v>
      </c>
      <c r="P15" s="574">
        <f t="shared" si="7"/>
        <v>434200</v>
      </c>
      <c r="Q15" s="575">
        <f>+CEILING(G15*(1+L15),100)</f>
        <v>521100</v>
      </c>
      <c r="R15" s="37"/>
    </row>
    <row r="16" spans="1:256" x14ac:dyDescent="0.2">
      <c r="A16" s="787"/>
      <c r="B16" s="522" t="s">
        <v>222</v>
      </c>
      <c r="C16" s="776"/>
      <c r="D16" s="777"/>
      <c r="E16" s="777"/>
      <c r="F16" s="777"/>
      <c r="G16" s="778"/>
      <c r="H16" s="776"/>
      <c r="I16" s="777"/>
      <c r="J16" s="777"/>
      <c r="K16" s="777"/>
      <c r="L16" s="778"/>
      <c r="M16" s="776"/>
      <c r="N16" s="777"/>
      <c r="O16" s="777"/>
      <c r="P16" s="777"/>
      <c r="Q16" s="778"/>
    </row>
    <row r="17" spans="1:17" ht="13.5" thickBot="1" x14ac:dyDescent="0.25">
      <c r="A17" s="811"/>
      <c r="B17" s="523" t="s">
        <v>221</v>
      </c>
      <c r="C17" s="661">
        <v>196700</v>
      </c>
      <c r="D17" s="662">
        <v>236000</v>
      </c>
      <c r="E17" s="662">
        <v>236000</v>
      </c>
      <c r="F17" s="662">
        <v>295000</v>
      </c>
      <c r="G17" s="663">
        <v>393300</v>
      </c>
      <c r="H17" s="592">
        <v>0.06</v>
      </c>
      <c r="I17" s="239">
        <f t="shared" ref="I17" si="12">+H17</f>
        <v>0.06</v>
      </c>
      <c r="J17" s="239">
        <f t="shared" ref="J17" si="13">+H17</f>
        <v>0.06</v>
      </c>
      <c r="K17" s="239">
        <f t="shared" ref="K17" si="14">+H17</f>
        <v>0.06</v>
      </c>
      <c r="L17" s="593">
        <f t="shared" ref="L17" si="15">+H17</f>
        <v>0.06</v>
      </c>
      <c r="M17" s="536">
        <f t="shared" si="6"/>
        <v>208600</v>
      </c>
      <c r="N17" s="528">
        <f>+CEILING(C17*(1.35)*(1+I17),100)</f>
        <v>281500</v>
      </c>
      <c r="O17" s="528">
        <f>+CEILING(C17*(1.4)*(1+J17),100)</f>
        <v>292000</v>
      </c>
      <c r="P17" s="528">
        <f>+CEILING(F17*(1+K17),100)</f>
        <v>312700</v>
      </c>
      <c r="Q17" s="529">
        <f>+CEILING(G17*(1+L17),100)</f>
        <v>416900</v>
      </c>
    </row>
    <row r="18" spans="1:17" x14ac:dyDescent="0.2">
      <c r="D18" s="113"/>
      <c r="H18" s="712"/>
    </row>
    <row r="19" spans="1:17" ht="15.75" x14ac:dyDescent="0.2">
      <c r="A19" s="782" t="s">
        <v>147</v>
      </c>
      <c r="B19" s="782"/>
      <c r="C19" s="782"/>
      <c r="D19" s="782"/>
      <c r="E19" s="782"/>
      <c r="F19" s="782"/>
      <c r="G19" s="13"/>
      <c r="H19" s="13"/>
    </row>
    <row r="20" spans="1:17" ht="13.5" thickBot="1" x14ac:dyDescent="0.25"/>
    <row r="21" spans="1:17" ht="16.5" thickBot="1" x14ac:dyDescent="0.25">
      <c r="A21" s="808" t="s">
        <v>133</v>
      </c>
      <c r="B21" s="806" t="s">
        <v>5</v>
      </c>
      <c r="C21" s="797" t="s">
        <v>263</v>
      </c>
      <c r="D21" s="798"/>
      <c r="E21" s="798"/>
      <c r="F21" s="798"/>
      <c r="G21" s="798"/>
      <c r="H21" s="799"/>
    </row>
    <row r="22" spans="1:17" ht="82.5" customHeight="1" thickBot="1" x14ac:dyDescent="0.25">
      <c r="A22" s="809"/>
      <c r="B22" s="807"/>
      <c r="C22" s="611" t="s">
        <v>86</v>
      </c>
      <c r="D22" s="612" t="s">
        <v>134</v>
      </c>
      <c r="E22" s="612" t="s">
        <v>135</v>
      </c>
      <c r="F22" s="612" t="s">
        <v>87</v>
      </c>
      <c r="G22" s="613" t="s">
        <v>88</v>
      </c>
      <c r="H22" s="607" t="s">
        <v>132</v>
      </c>
    </row>
    <row r="23" spans="1:17" ht="20.100000000000001" customHeight="1" x14ac:dyDescent="0.2">
      <c r="A23" s="792" t="str">
        <f>+A12</f>
        <v>Jardín Infantil Olitas de Mar</v>
      </c>
      <c r="B23" s="599" t="str">
        <f>+B12</f>
        <v>Media jornada</v>
      </c>
      <c r="C23" s="603">
        <v>1</v>
      </c>
      <c r="D23" s="366">
        <v>0</v>
      </c>
      <c r="E23" s="366">
        <v>0</v>
      </c>
      <c r="F23" s="366">
        <v>0</v>
      </c>
      <c r="G23" s="614">
        <v>0</v>
      </c>
      <c r="H23" s="608">
        <f>SUM(C23:G23)</f>
        <v>1</v>
      </c>
    </row>
    <row r="24" spans="1:17" ht="20.100000000000001" customHeight="1" thickBot="1" x14ac:dyDescent="0.25">
      <c r="A24" s="793"/>
      <c r="B24" s="596" t="str">
        <f t="shared" ref="B24:B28" si="16">+B13</f>
        <v>Media jornada Extendida</v>
      </c>
      <c r="C24" s="604">
        <v>2</v>
      </c>
      <c r="D24" s="192">
        <v>0</v>
      </c>
      <c r="E24" s="192">
        <v>0</v>
      </c>
      <c r="F24" s="192">
        <v>0</v>
      </c>
      <c r="G24" s="615">
        <v>0</v>
      </c>
      <c r="H24" s="609">
        <f>SUM(C24:G24)</f>
        <v>2</v>
      </c>
    </row>
    <row r="25" spans="1:17" ht="20.100000000000001" customHeight="1" thickBot="1" x14ac:dyDescent="0.25">
      <c r="A25" s="794"/>
      <c r="B25" s="600" t="str">
        <f t="shared" si="16"/>
        <v>Jornada Completa</v>
      </c>
      <c r="C25" s="605">
        <v>58</v>
      </c>
      <c r="D25" s="112">
        <v>1</v>
      </c>
      <c r="E25" s="112">
        <v>0</v>
      </c>
      <c r="F25" s="112">
        <v>0</v>
      </c>
      <c r="G25" s="616">
        <v>0</v>
      </c>
      <c r="H25" s="610">
        <f t="shared" ref="H25" si="17">SUM(C25:G25)</f>
        <v>59</v>
      </c>
      <c r="I25" s="602">
        <f>SUM(H23:H25)</f>
        <v>62</v>
      </c>
    </row>
    <row r="26" spans="1:17" ht="19.5" customHeight="1" x14ac:dyDescent="0.2">
      <c r="A26" s="789" t="str">
        <f>+A15</f>
        <v>Sala Cuna Olitas de Mar</v>
      </c>
      <c r="B26" s="599" t="str">
        <f t="shared" si="16"/>
        <v>Diurna</v>
      </c>
      <c r="C26" s="603">
        <v>10</v>
      </c>
      <c r="D26" s="366">
        <v>0</v>
      </c>
      <c r="E26" s="366">
        <v>0</v>
      </c>
      <c r="F26" s="366">
        <v>0</v>
      </c>
      <c r="G26" s="614">
        <v>0</v>
      </c>
      <c r="H26" s="608">
        <f>SUM(C26:G26)</f>
        <v>10</v>
      </c>
    </row>
    <row r="27" spans="1:17" ht="19.5" customHeight="1" thickBot="1" x14ac:dyDescent="0.25">
      <c r="A27" s="790"/>
      <c r="B27" s="596" t="str">
        <f t="shared" si="16"/>
        <v>Nocturna</v>
      </c>
      <c r="C27" s="606"/>
      <c r="D27" s="598"/>
      <c r="E27" s="598"/>
      <c r="F27" s="598"/>
      <c r="G27" s="617"/>
      <c r="H27" s="597"/>
    </row>
    <row r="28" spans="1:17" ht="19.5" customHeight="1" thickBot="1" x14ac:dyDescent="0.25">
      <c r="A28" s="791"/>
      <c r="B28" s="601" t="str">
        <f t="shared" si="16"/>
        <v>Media Jornada</v>
      </c>
      <c r="C28" s="605">
        <v>0</v>
      </c>
      <c r="D28" s="112">
        <v>0</v>
      </c>
      <c r="E28" s="112">
        <v>0</v>
      </c>
      <c r="F28" s="112">
        <v>0</v>
      </c>
      <c r="G28" s="616">
        <v>0</v>
      </c>
      <c r="H28" s="610">
        <f>SUM(C28:G28)</f>
        <v>0</v>
      </c>
      <c r="I28" s="602">
        <f>SUM(H26:H28)</f>
        <v>10</v>
      </c>
    </row>
  </sheetData>
  <sheetProtection algorithmName="SHA-512" hashValue="IhsAGpb+06890rpGZuNkIa2xnAaxMgdeFyZhFM8m0vodZvJb85upRK4bbtVfyuH9ejTXv6lHOEbhGnG5XzAzgg==" saltValue="F+qkW1tR2KWUW6R47Ag9uQ==" spinCount="100000" sheet="1" objects="1" scenarios="1"/>
  <mergeCells count="19"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  <mergeCell ref="C5:D5"/>
    <mergeCell ref="M16:Q16"/>
    <mergeCell ref="H16:L16"/>
    <mergeCell ref="C16:G16"/>
    <mergeCell ref="M10:Q10"/>
    <mergeCell ref="A19:F19"/>
    <mergeCell ref="H10:L10"/>
    <mergeCell ref="A12:A14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207"/>
  <sheetViews>
    <sheetView showGridLines="0" zoomScale="80" zoomScaleNormal="80" workbookViewId="0">
      <selection activeCell="I19" sqref="I19"/>
    </sheetView>
  </sheetViews>
  <sheetFormatPr baseColWidth="10" defaultColWidth="11.42578125" defaultRowHeight="12.75" x14ac:dyDescent="0.2"/>
  <cols>
    <col min="1" max="1" width="30.28515625" style="9" customWidth="1"/>
    <col min="2" max="2" width="21.140625" style="3" customWidth="1"/>
    <col min="3" max="3" width="57.42578125" style="3" bestFit="1" customWidth="1"/>
    <col min="4" max="4" width="17" style="3" customWidth="1"/>
    <col min="5" max="5" width="14.28515625" style="3" customWidth="1"/>
    <col min="6" max="6" width="14.42578125" style="23" customWidth="1"/>
    <col min="7" max="7" width="14.28515625" style="5" customWidth="1"/>
    <col min="8" max="8" width="23" style="5" customWidth="1"/>
    <col min="9" max="9" width="15.7109375" style="3" bestFit="1" customWidth="1"/>
    <col min="10" max="10" width="17.7109375" style="3" customWidth="1"/>
    <col min="11" max="11" width="14.42578125" style="3" customWidth="1"/>
    <col min="12" max="12" width="92.85546875" style="3" bestFit="1" customWidth="1"/>
    <col min="13" max="13" width="13.7109375" style="321" customWidth="1"/>
    <col min="14" max="14" width="12.85546875" style="321" bestFit="1" customWidth="1"/>
    <col min="15" max="15" width="11.42578125" style="321"/>
    <col min="16" max="16384" width="11.42578125" style="3"/>
  </cols>
  <sheetData>
    <row r="1" spans="1:15" x14ac:dyDescent="0.2">
      <c r="C1" s="36"/>
      <c r="D1" s="36" t="s">
        <v>200</v>
      </c>
      <c r="E1" s="36"/>
      <c r="F1" s="36"/>
      <c r="G1" s="36"/>
      <c r="H1" s="36"/>
    </row>
    <row r="2" spans="1:15" x14ac:dyDescent="0.2">
      <c r="C2" s="36"/>
      <c r="D2" s="36" t="s">
        <v>209</v>
      </c>
      <c r="E2" s="36"/>
      <c r="F2" s="36"/>
      <c r="G2" s="36"/>
      <c r="H2" s="36"/>
    </row>
    <row r="3" spans="1:15" x14ac:dyDescent="0.2">
      <c r="C3" s="36"/>
      <c r="E3" s="36"/>
      <c r="F3" s="36"/>
      <c r="G3" s="36"/>
      <c r="H3" s="36"/>
    </row>
    <row r="4" spans="1:15" ht="19.5" customHeight="1" x14ac:dyDescent="0.2">
      <c r="C4" s="180" t="s">
        <v>0</v>
      </c>
      <c r="D4" s="817" t="s">
        <v>148</v>
      </c>
      <c r="E4" s="818"/>
      <c r="F4" s="36"/>
      <c r="G4" s="36"/>
      <c r="H4" s="36"/>
    </row>
    <row r="5" spans="1:15" x14ac:dyDescent="0.2">
      <c r="B5" s="36"/>
      <c r="C5" s="181"/>
      <c r="D5" s="36"/>
      <c r="E5" s="36"/>
      <c r="F5" s="36"/>
      <c r="G5" s="36"/>
      <c r="H5" s="36"/>
    </row>
    <row r="6" spans="1:15" x14ac:dyDescent="0.2">
      <c r="B6" s="36"/>
      <c r="C6" s="181"/>
      <c r="D6" s="36"/>
      <c r="E6" s="36"/>
      <c r="F6" s="36"/>
      <c r="G6" s="36"/>
      <c r="H6" s="36"/>
    </row>
    <row r="7" spans="1:15" x14ac:dyDescent="0.2">
      <c r="C7" s="5"/>
    </row>
    <row r="8" spans="1:15" ht="15.75" x14ac:dyDescent="0.2">
      <c r="A8" s="782" t="s">
        <v>149</v>
      </c>
      <c r="B8" s="782"/>
      <c r="C8" s="782"/>
      <c r="D8" s="181"/>
      <c r="G8" s="3"/>
    </row>
    <row r="10" spans="1:15" ht="12.75" customHeight="1" x14ac:dyDescent="0.2">
      <c r="A10" s="823" t="s">
        <v>113</v>
      </c>
      <c r="B10" s="827" t="s">
        <v>75</v>
      </c>
      <c r="C10" s="825" t="s">
        <v>76</v>
      </c>
      <c r="D10" s="820" t="s">
        <v>77</v>
      </c>
      <c r="E10" s="819" t="s">
        <v>78</v>
      </c>
      <c r="F10" s="819"/>
      <c r="G10" s="819"/>
      <c r="H10" s="821" t="s">
        <v>264</v>
      </c>
      <c r="L10" s="813" t="s">
        <v>227</v>
      </c>
      <c r="M10" s="815" t="s">
        <v>226</v>
      </c>
      <c r="N10" s="815" t="s">
        <v>228</v>
      </c>
      <c r="O10" s="815" t="s">
        <v>229</v>
      </c>
    </row>
    <row r="11" spans="1:15" ht="39" customHeight="1" thickBot="1" x14ac:dyDescent="0.25">
      <c r="A11" s="824"/>
      <c r="B11" s="828"/>
      <c r="C11" s="826"/>
      <c r="D11" s="820"/>
      <c r="E11" s="183" t="s">
        <v>67</v>
      </c>
      <c r="F11" s="184" t="s">
        <v>68</v>
      </c>
      <c r="G11" s="185" t="s">
        <v>6</v>
      </c>
      <c r="H11" s="822"/>
      <c r="L11" s="814"/>
      <c r="M11" s="816"/>
      <c r="N11" s="816"/>
      <c r="O11" s="816"/>
    </row>
    <row r="12" spans="1:15" ht="15.75" customHeight="1" x14ac:dyDescent="0.2">
      <c r="A12" s="832" t="str">
        <f>+'B) Reajuste Tarifas y Ocupación'!A12</f>
        <v>Jardín Infantil Olitas de Mar</v>
      </c>
      <c r="B12" s="311"/>
      <c r="C12" s="378" t="s">
        <v>11</v>
      </c>
      <c r="D12" s="387">
        <f>SUM(D13+D18)</f>
        <v>65704799.999999993</v>
      </c>
      <c r="E12" s="388"/>
      <c r="F12" s="388"/>
      <c r="G12" s="389">
        <f>SUM(G13,G18)</f>
        <v>18426380</v>
      </c>
      <c r="H12" s="390">
        <f>SUM(H13,H18)</f>
        <v>84131180</v>
      </c>
      <c r="I12" s="294"/>
      <c r="J12" s="294"/>
      <c r="L12" s="370" t="s">
        <v>11</v>
      </c>
      <c r="M12" s="371"/>
      <c r="N12" s="371"/>
      <c r="O12" s="371"/>
    </row>
    <row r="13" spans="1:15" ht="12.75" customHeight="1" x14ac:dyDescent="0.2">
      <c r="A13" s="766"/>
      <c r="B13" s="295"/>
      <c r="C13" s="381" t="s">
        <v>12</v>
      </c>
      <c r="D13" s="391">
        <f>SUM(D14:D17)</f>
        <v>59325615.999999993</v>
      </c>
      <c r="E13" s="392"/>
      <c r="F13" s="392"/>
      <c r="G13" s="393">
        <f>SUM(G14:G17)</f>
        <v>0</v>
      </c>
      <c r="H13" s="296">
        <f>SUM(H14:H17)</f>
        <v>59325615.999999993</v>
      </c>
      <c r="I13" s="294"/>
      <c r="J13" s="294"/>
      <c r="L13" s="372" t="s">
        <v>16</v>
      </c>
      <c r="M13" s="373"/>
      <c r="N13" s="374"/>
      <c r="O13" s="374"/>
    </row>
    <row r="14" spans="1:15" ht="12.75" customHeight="1" x14ac:dyDescent="0.2">
      <c r="A14" s="766"/>
      <c r="B14" s="297">
        <v>53103040100000</v>
      </c>
      <c r="C14" s="375" t="s">
        <v>95</v>
      </c>
      <c r="D14" s="394">
        <f>'F) Remuneraciones'!L11</f>
        <v>58734835.999999993</v>
      </c>
      <c r="E14" s="395">
        <v>0</v>
      </c>
      <c r="F14" s="396">
        <v>0</v>
      </c>
      <c r="G14" s="395">
        <f>E14*F14</f>
        <v>0</v>
      </c>
      <c r="H14" s="397">
        <f>D14+G14</f>
        <v>58734835.999999993</v>
      </c>
      <c r="I14" s="294"/>
      <c r="J14" s="294"/>
      <c r="L14" s="318" t="s">
        <v>174</v>
      </c>
      <c r="M14" s="377">
        <v>251950</v>
      </c>
      <c r="N14" s="317">
        <f t="shared" ref="N14:N61" si="0">M14*0.8</f>
        <v>201560</v>
      </c>
      <c r="O14" s="317">
        <f t="shared" ref="O14:O61" si="1">M14*0.2</f>
        <v>50390</v>
      </c>
    </row>
    <row r="15" spans="1:15" ht="12.75" customHeight="1" x14ac:dyDescent="0.2">
      <c r="A15" s="766"/>
      <c r="B15" s="297">
        <v>53103050000000</v>
      </c>
      <c r="C15" s="375" t="s">
        <v>168</v>
      </c>
      <c r="D15" s="398">
        <v>0</v>
      </c>
      <c r="E15" s="399">
        <v>0</v>
      </c>
      <c r="F15" s="400">
        <v>0</v>
      </c>
      <c r="G15" s="395">
        <f>E15*F15</f>
        <v>0</v>
      </c>
      <c r="H15" s="397">
        <f>D15+G15</f>
        <v>0</v>
      </c>
      <c r="I15" s="294"/>
      <c r="J15" s="294"/>
      <c r="L15" s="298" t="s">
        <v>19</v>
      </c>
      <c r="M15" s="376">
        <v>119500</v>
      </c>
      <c r="N15" s="317">
        <f t="shared" si="0"/>
        <v>95600</v>
      </c>
      <c r="O15" s="317">
        <f t="shared" si="1"/>
        <v>23900</v>
      </c>
    </row>
    <row r="16" spans="1:15" ht="12.75" customHeight="1" x14ac:dyDescent="0.2">
      <c r="A16" s="766"/>
      <c r="B16" s="316">
        <v>53103040400000</v>
      </c>
      <c r="C16" s="299" t="s">
        <v>169</v>
      </c>
      <c r="D16" s="398">
        <v>590780</v>
      </c>
      <c r="E16" s="399">
        <v>0</v>
      </c>
      <c r="F16" s="400">
        <v>0</v>
      </c>
      <c r="G16" s="395">
        <f>E16*F16</f>
        <v>0</v>
      </c>
      <c r="H16" s="397">
        <f>D16+G16</f>
        <v>590780</v>
      </c>
      <c r="I16" s="294"/>
      <c r="J16" s="294"/>
      <c r="L16" s="298" t="s">
        <v>175</v>
      </c>
      <c r="M16" s="376">
        <v>171700</v>
      </c>
      <c r="N16" s="317">
        <f t="shared" si="0"/>
        <v>137360</v>
      </c>
      <c r="O16" s="317">
        <f t="shared" si="1"/>
        <v>34340</v>
      </c>
    </row>
    <row r="17" spans="1:15" ht="12.75" customHeight="1" x14ac:dyDescent="0.2">
      <c r="A17" s="766"/>
      <c r="B17" s="297">
        <v>53103080010000</v>
      </c>
      <c r="C17" s="375" t="s">
        <v>170</v>
      </c>
      <c r="D17" s="398">
        <v>0</v>
      </c>
      <c r="E17" s="399">
        <v>0</v>
      </c>
      <c r="F17" s="400">
        <v>0</v>
      </c>
      <c r="G17" s="395">
        <f>E17*F17</f>
        <v>0</v>
      </c>
      <c r="H17" s="397">
        <f>D17+G17</f>
        <v>0</v>
      </c>
      <c r="I17" s="294"/>
      <c r="J17" s="294"/>
      <c r="L17" s="298" t="s">
        <v>210</v>
      </c>
      <c r="M17" s="376">
        <v>86000</v>
      </c>
      <c r="N17" s="317">
        <f t="shared" si="0"/>
        <v>68800</v>
      </c>
      <c r="O17" s="317">
        <f t="shared" si="1"/>
        <v>17200</v>
      </c>
    </row>
    <row r="18" spans="1:15" ht="12.75" customHeight="1" x14ac:dyDescent="0.2">
      <c r="A18" s="766"/>
      <c r="B18" s="295"/>
      <c r="C18" s="381" t="s">
        <v>16</v>
      </c>
      <c r="D18" s="391">
        <f>SUM(D19:D38)</f>
        <v>6379184</v>
      </c>
      <c r="E18" s="392"/>
      <c r="F18" s="392"/>
      <c r="G18" s="391">
        <f>SUM(G19:G38)</f>
        <v>18426380</v>
      </c>
      <c r="H18" s="296">
        <f>SUM(H19:H38)</f>
        <v>24805564</v>
      </c>
      <c r="I18" s="294"/>
      <c r="J18" s="294"/>
      <c r="L18" s="298" t="s">
        <v>22</v>
      </c>
      <c r="M18" s="376">
        <v>0</v>
      </c>
      <c r="N18" s="317">
        <f t="shared" si="0"/>
        <v>0</v>
      </c>
      <c r="O18" s="317">
        <f t="shared" si="1"/>
        <v>0</v>
      </c>
    </row>
    <row r="19" spans="1:15" ht="12.75" customHeight="1" x14ac:dyDescent="0.2">
      <c r="A19" s="766"/>
      <c r="B19" s="297">
        <v>53201010100000</v>
      </c>
      <c r="C19" s="401" t="s">
        <v>171</v>
      </c>
      <c r="D19" s="398">
        <v>0</v>
      </c>
      <c r="E19" s="714">
        <v>1859</v>
      </c>
      <c r="F19" s="715">
        <f>+(20*7)*11</f>
        <v>1540</v>
      </c>
      <c r="G19" s="395">
        <f t="shared" ref="G19:G38" si="2">E19*F19</f>
        <v>2862860</v>
      </c>
      <c r="H19" s="397">
        <f t="shared" ref="H19:H38" si="3">D19+G19</f>
        <v>2862860</v>
      </c>
      <c r="I19" s="713"/>
      <c r="J19" s="294"/>
      <c r="L19" s="298" t="s">
        <v>177</v>
      </c>
      <c r="M19" s="376">
        <v>0</v>
      </c>
      <c r="N19" s="317">
        <f t="shared" si="0"/>
        <v>0</v>
      </c>
      <c r="O19" s="317">
        <f t="shared" si="1"/>
        <v>0</v>
      </c>
    </row>
    <row r="20" spans="1:15" ht="12.75" customHeight="1" x14ac:dyDescent="0.2">
      <c r="A20" s="766"/>
      <c r="B20" s="297">
        <v>53201010100000</v>
      </c>
      <c r="C20" s="401" t="s">
        <v>172</v>
      </c>
      <c r="D20" s="398">
        <v>0</v>
      </c>
      <c r="E20" s="399">
        <v>1196</v>
      </c>
      <c r="F20" s="400">
        <f>+(60*20)*10+(30*20)</f>
        <v>12600</v>
      </c>
      <c r="G20" s="395">
        <f t="shared" si="2"/>
        <v>15069600</v>
      </c>
      <c r="H20" s="397">
        <f t="shared" si="3"/>
        <v>15069600</v>
      </c>
      <c r="I20" s="294"/>
      <c r="J20" s="294"/>
      <c r="L20" s="298" t="s">
        <v>24</v>
      </c>
      <c r="M20" s="376">
        <v>1538400</v>
      </c>
      <c r="N20" s="317">
        <f t="shared" si="0"/>
        <v>1230720</v>
      </c>
      <c r="O20" s="317">
        <f t="shared" si="1"/>
        <v>307680</v>
      </c>
    </row>
    <row r="21" spans="1:15" ht="12.75" customHeight="1" x14ac:dyDescent="0.2">
      <c r="A21" s="766"/>
      <c r="B21" s="297">
        <v>53201010100000</v>
      </c>
      <c r="C21" s="401" t="s">
        <v>173</v>
      </c>
      <c r="D21" s="398">
        <v>0</v>
      </c>
      <c r="E21" s="399">
        <v>2058</v>
      </c>
      <c r="F21" s="400">
        <f>+(2*20)*6</f>
        <v>240</v>
      </c>
      <c r="G21" s="395">
        <f t="shared" si="2"/>
        <v>493920</v>
      </c>
      <c r="H21" s="397">
        <f t="shared" si="3"/>
        <v>493920</v>
      </c>
      <c r="I21" s="294"/>
      <c r="J21" s="294"/>
      <c r="L21" s="298" t="s">
        <v>25</v>
      </c>
      <c r="M21" s="376">
        <v>1681750</v>
      </c>
      <c r="N21" s="317">
        <f t="shared" si="0"/>
        <v>1345400</v>
      </c>
      <c r="O21" s="317">
        <f t="shared" si="1"/>
        <v>336350</v>
      </c>
    </row>
    <row r="22" spans="1:15" ht="12.75" customHeight="1" x14ac:dyDescent="0.2">
      <c r="A22" s="766"/>
      <c r="B22" s="297">
        <v>53202010100000</v>
      </c>
      <c r="C22" s="375" t="s">
        <v>174</v>
      </c>
      <c r="D22" s="402">
        <f t="shared" ref="D22:D38" si="4">N14</f>
        <v>201560</v>
      </c>
      <c r="E22" s="402">
        <v>0</v>
      </c>
      <c r="F22" s="403">
        <v>0</v>
      </c>
      <c r="G22" s="395">
        <f t="shared" si="2"/>
        <v>0</v>
      </c>
      <c r="H22" s="397">
        <f t="shared" si="3"/>
        <v>201560</v>
      </c>
      <c r="I22" s="294"/>
      <c r="J22" s="294"/>
      <c r="L22" s="298" t="s">
        <v>26</v>
      </c>
      <c r="M22" s="376">
        <v>2013670</v>
      </c>
      <c r="N22" s="317">
        <f t="shared" si="0"/>
        <v>1610936</v>
      </c>
      <c r="O22" s="317">
        <f t="shared" si="1"/>
        <v>402734</v>
      </c>
    </row>
    <row r="23" spans="1:15" ht="12.75" customHeight="1" x14ac:dyDescent="0.2">
      <c r="A23" s="766"/>
      <c r="B23" s="297">
        <v>53203010100000</v>
      </c>
      <c r="C23" s="375" t="s">
        <v>19</v>
      </c>
      <c r="D23" s="395">
        <f t="shared" si="4"/>
        <v>95600</v>
      </c>
      <c r="E23" s="395">
        <v>0</v>
      </c>
      <c r="F23" s="403">
        <v>0</v>
      </c>
      <c r="G23" s="395">
        <f t="shared" si="2"/>
        <v>0</v>
      </c>
      <c r="H23" s="397">
        <f t="shared" si="3"/>
        <v>95600</v>
      </c>
      <c r="I23" s="294"/>
      <c r="J23" s="294"/>
      <c r="L23" s="298" t="s">
        <v>27</v>
      </c>
      <c r="M23" s="376">
        <v>0</v>
      </c>
      <c r="N23" s="317">
        <f t="shared" si="0"/>
        <v>0</v>
      </c>
      <c r="O23" s="317">
        <f t="shared" si="1"/>
        <v>0</v>
      </c>
    </row>
    <row r="24" spans="1:15" ht="12.75" customHeight="1" x14ac:dyDescent="0.2">
      <c r="A24" s="766"/>
      <c r="B24" s="297">
        <v>53203030000000</v>
      </c>
      <c r="C24" s="375" t="s">
        <v>175</v>
      </c>
      <c r="D24" s="395">
        <f t="shared" si="4"/>
        <v>137360</v>
      </c>
      <c r="E24" s="395">
        <v>0</v>
      </c>
      <c r="F24" s="403">
        <v>0</v>
      </c>
      <c r="G24" s="395">
        <f t="shared" si="2"/>
        <v>0</v>
      </c>
      <c r="H24" s="397">
        <f t="shared" si="3"/>
        <v>137360</v>
      </c>
      <c r="I24" s="294"/>
      <c r="J24" s="294"/>
      <c r="L24" s="298" t="s">
        <v>29</v>
      </c>
      <c r="M24" s="376">
        <v>372710</v>
      </c>
      <c r="N24" s="317">
        <f t="shared" si="0"/>
        <v>298168</v>
      </c>
      <c r="O24" s="317">
        <f t="shared" si="1"/>
        <v>74542</v>
      </c>
    </row>
    <row r="25" spans="1:15" ht="12.75" customHeight="1" x14ac:dyDescent="0.2">
      <c r="A25" s="766"/>
      <c r="B25" s="297">
        <v>53204030000000</v>
      </c>
      <c r="C25" s="375" t="s">
        <v>210</v>
      </c>
      <c r="D25" s="395">
        <f t="shared" si="4"/>
        <v>68800</v>
      </c>
      <c r="E25" s="395">
        <v>0</v>
      </c>
      <c r="F25" s="403">
        <v>0</v>
      </c>
      <c r="G25" s="395">
        <f t="shared" si="2"/>
        <v>0</v>
      </c>
      <c r="H25" s="397">
        <f>D25+G25</f>
        <v>68800</v>
      </c>
      <c r="I25" s="502"/>
      <c r="J25" s="294"/>
      <c r="L25" s="298" t="s">
        <v>30</v>
      </c>
      <c r="M25" s="376">
        <v>0</v>
      </c>
      <c r="N25" s="317">
        <f t="shared" si="0"/>
        <v>0</v>
      </c>
      <c r="O25" s="317">
        <f t="shared" si="1"/>
        <v>0</v>
      </c>
    </row>
    <row r="26" spans="1:15" ht="12.75" customHeight="1" x14ac:dyDescent="0.2">
      <c r="A26" s="766"/>
      <c r="B26" s="297">
        <v>53204100100001</v>
      </c>
      <c r="C26" s="375" t="s">
        <v>22</v>
      </c>
      <c r="D26" s="395">
        <f t="shared" si="4"/>
        <v>0</v>
      </c>
      <c r="E26" s="395">
        <v>0</v>
      </c>
      <c r="F26" s="403">
        <v>0</v>
      </c>
      <c r="G26" s="395">
        <f t="shared" si="2"/>
        <v>0</v>
      </c>
      <c r="H26" s="397">
        <f t="shared" si="3"/>
        <v>0</v>
      </c>
      <c r="I26" s="294"/>
      <c r="J26" s="294"/>
      <c r="L26" s="298" t="s">
        <v>31</v>
      </c>
      <c r="M26" s="376">
        <v>0</v>
      </c>
      <c r="N26" s="317">
        <f t="shared" si="0"/>
        <v>0</v>
      </c>
      <c r="O26" s="317">
        <f t="shared" si="1"/>
        <v>0</v>
      </c>
    </row>
    <row r="27" spans="1:15" ht="12.75" customHeight="1" x14ac:dyDescent="0.2">
      <c r="A27" s="766"/>
      <c r="B27" s="297">
        <v>53204130100000</v>
      </c>
      <c r="C27" s="375" t="s">
        <v>177</v>
      </c>
      <c r="D27" s="395">
        <f t="shared" si="4"/>
        <v>0</v>
      </c>
      <c r="E27" s="395">
        <v>0</v>
      </c>
      <c r="F27" s="403">
        <v>0</v>
      </c>
      <c r="G27" s="395">
        <f t="shared" si="2"/>
        <v>0</v>
      </c>
      <c r="H27" s="397">
        <f t="shared" si="3"/>
        <v>0</v>
      </c>
      <c r="I27" s="294"/>
      <c r="J27" s="294"/>
      <c r="L27" s="298" t="s">
        <v>178</v>
      </c>
      <c r="M27" s="376">
        <v>0</v>
      </c>
      <c r="N27" s="317">
        <f t="shared" si="0"/>
        <v>0</v>
      </c>
      <c r="O27" s="317">
        <f t="shared" si="1"/>
        <v>0</v>
      </c>
    </row>
    <row r="28" spans="1:15" ht="12.75" customHeight="1" x14ac:dyDescent="0.2">
      <c r="A28" s="766"/>
      <c r="B28" s="297">
        <v>53205010100000</v>
      </c>
      <c r="C28" s="375" t="s">
        <v>24</v>
      </c>
      <c r="D28" s="395">
        <f t="shared" si="4"/>
        <v>1230720</v>
      </c>
      <c r="E28" s="395">
        <v>0</v>
      </c>
      <c r="F28" s="403">
        <v>0</v>
      </c>
      <c r="G28" s="395">
        <f t="shared" si="2"/>
        <v>0</v>
      </c>
      <c r="H28" s="397">
        <f t="shared" si="3"/>
        <v>1230720</v>
      </c>
      <c r="I28" s="294"/>
      <c r="J28" s="294"/>
      <c r="L28" s="298" t="s">
        <v>32</v>
      </c>
      <c r="M28" s="376">
        <v>0</v>
      </c>
      <c r="N28" s="317">
        <f t="shared" si="0"/>
        <v>0</v>
      </c>
      <c r="O28" s="317">
        <f t="shared" si="1"/>
        <v>0</v>
      </c>
    </row>
    <row r="29" spans="1:15" ht="12.75" customHeight="1" x14ac:dyDescent="0.2">
      <c r="A29" s="766"/>
      <c r="B29" s="297">
        <v>53205020100000</v>
      </c>
      <c r="C29" s="375" t="s">
        <v>25</v>
      </c>
      <c r="D29" s="395">
        <f t="shared" si="4"/>
        <v>1345400</v>
      </c>
      <c r="E29" s="395">
        <v>0</v>
      </c>
      <c r="F29" s="403">
        <v>0</v>
      </c>
      <c r="G29" s="395">
        <f t="shared" si="2"/>
        <v>0</v>
      </c>
      <c r="H29" s="397">
        <f t="shared" si="3"/>
        <v>1345400</v>
      </c>
      <c r="I29" s="294"/>
      <c r="J29" s="294"/>
      <c r="L29" s="318" t="s">
        <v>179</v>
      </c>
      <c r="M29" s="376">
        <v>1738300</v>
      </c>
      <c r="N29" s="317">
        <f t="shared" si="0"/>
        <v>1390640</v>
      </c>
      <c r="O29" s="317">
        <f t="shared" si="1"/>
        <v>347660</v>
      </c>
    </row>
    <row r="30" spans="1:15" ht="12.75" customHeight="1" x14ac:dyDescent="0.2">
      <c r="A30" s="766"/>
      <c r="B30" s="297">
        <v>53205030100000</v>
      </c>
      <c r="C30" s="375" t="s">
        <v>26</v>
      </c>
      <c r="D30" s="395">
        <f t="shared" si="4"/>
        <v>1610936</v>
      </c>
      <c r="E30" s="395">
        <v>0</v>
      </c>
      <c r="F30" s="403">
        <v>0</v>
      </c>
      <c r="G30" s="395">
        <f t="shared" si="2"/>
        <v>0</v>
      </c>
      <c r="H30" s="397">
        <f t="shared" si="3"/>
        <v>1610936</v>
      </c>
      <c r="I30" s="294"/>
      <c r="J30" s="294"/>
      <c r="L30" s="298" t="s">
        <v>180</v>
      </c>
      <c r="M30" s="376">
        <v>0</v>
      </c>
      <c r="N30" s="317">
        <f t="shared" si="0"/>
        <v>0</v>
      </c>
      <c r="O30" s="317">
        <f t="shared" si="1"/>
        <v>0</v>
      </c>
    </row>
    <row r="31" spans="1:15" ht="12.75" customHeight="1" x14ac:dyDescent="0.2">
      <c r="A31" s="766"/>
      <c r="B31" s="297">
        <v>53205050100000</v>
      </c>
      <c r="C31" s="375" t="s">
        <v>27</v>
      </c>
      <c r="D31" s="395">
        <f t="shared" si="4"/>
        <v>0</v>
      </c>
      <c r="E31" s="395">
        <v>0</v>
      </c>
      <c r="F31" s="403">
        <v>0</v>
      </c>
      <c r="G31" s="395">
        <f t="shared" si="2"/>
        <v>0</v>
      </c>
      <c r="H31" s="397">
        <f t="shared" si="3"/>
        <v>0</v>
      </c>
      <c r="I31" s="294"/>
      <c r="J31" s="294"/>
      <c r="L31" s="378" t="s">
        <v>34</v>
      </c>
      <c r="M31" s="379">
        <v>0</v>
      </c>
      <c r="N31" s="380"/>
      <c r="O31" s="380"/>
    </row>
    <row r="32" spans="1:15" ht="12.75" customHeight="1" x14ac:dyDescent="0.2">
      <c r="A32" s="766"/>
      <c r="B32" s="297">
        <v>53205070100000</v>
      </c>
      <c r="C32" s="375" t="s">
        <v>29</v>
      </c>
      <c r="D32" s="395">
        <f t="shared" si="4"/>
        <v>298168</v>
      </c>
      <c r="E32" s="395">
        <v>0</v>
      </c>
      <c r="F32" s="403">
        <v>0</v>
      </c>
      <c r="G32" s="395">
        <f t="shared" si="2"/>
        <v>0</v>
      </c>
      <c r="H32" s="397">
        <f t="shared" si="3"/>
        <v>298168</v>
      </c>
      <c r="I32" s="294"/>
      <c r="J32" s="294"/>
      <c r="L32" s="381" t="s">
        <v>35</v>
      </c>
      <c r="M32" s="382"/>
      <c r="N32" s="383"/>
      <c r="O32" s="383"/>
    </row>
    <row r="33" spans="1:15" ht="12.75" customHeight="1" x14ac:dyDescent="0.2">
      <c r="A33" s="766"/>
      <c r="B33" s="297">
        <v>53208010100000</v>
      </c>
      <c r="C33" s="375" t="s">
        <v>30</v>
      </c>
      <c r="D33" s="395">
        <f t="shared" si="4"/>
        <v>0</v>
      </c>
      <c r="E33" s="395">
        <v>0</v>
      </c>
      <c r="F33" s="403">
        <v>0</v>
      </c>
      <c r="G33" s="395">
        <f t="shared" si="2"/>
        <v>0</v>
      </c>
      <c r="H33" s="397">
        <f t="shared" si="3"/>
        <v>0</v>
      </c>
      <c r="I33" s="294"/>
      <c r="J33" s="294"/>
      <c r="L33" s="298" t="s">
        <v>41</v>
      </c>
      <c r="M33" s="376">
        <v>0</v>
      </c>
      <c r="N33" s="317">
        <f t="shared" si="0"/>
        <v>0</v>
      </c>
      <c r="O33" s="317">
        <f t="shared" si="1"/>
        <v>0</v>
      </c>
    </row>
    <row r="34" spans="1:15" ht="12.75" customHeight="1" x14ac:dyDescent="0.2">
      <c r="A34" s="766"/>
      <c r="B34" s="297">
        <v>53208070100001</v>
      </c>
      <c r="C34" s="375" t="s">
        <v>31</v>
      </c>
      <c r="D34" s="395">
        <f t="shared" si="4"/>
        <v>0</v>
      </c>
      <c r="E34" s="395">
        <v>0</v>
      </c>
      <c r="F34" s="403">
        <v>0</v>
      </c>
      <c r="G34" s="395">
        <f t="shared" si="2"/>
        <v>0</v>
      </c>
      <c r="H34" s="397">
        <f t="shared" si="3"/>
        <v>0</v>
      </c>
      <c r="I34" s="294"/>
      <c r="J34" s="294"/>
      <c r="L34" s="318" t="s">
        <v>183</v>
      </c>
      <c r="M34" s="376">
        <v>203930</v>
      </c>
      <c r="N34" s="317">
        <f t="shared" si="0"/>
        <v>163144</v>
      </c>
      <c r="O34" s="317">
        <f t="shared" si="1"/>
        <v>40786</v>
      </c>
    </row>
    <row r="35" spans="1:15" ht="12.75" customHeight="1" x14ac:dyDescent="0.2">
      <c r="A35" s="766"/>
      <c r="B35" s="297">
        <v>53208100100001</v>
      </c>
      <c r="C35" s="375" t="s">
        <v>178</v>
      </c>
      <c r="D35" s="395">
        <f t="shared" si="4"/>
        <v>0</v>
      </c>
      <c r="E35" s="395">
        <v>0</v>
      </c>
      <c r="F35" s="403">
        <v>0</v>
      </c>
      <c r="G35" s="395">
        <f t="shared" si="2"/>
        <v>0</v>
      </c>
      <c r="H35" s="397">
        <f t="shared" si="3"/>
        <v>0</v>
      </c>
      <c r="I35" s="294"/>
      <c r="J35" s="294"/>
      <c r="L35" s="381" t="s">
        <v>42</v>
      </c>
      <c r="M35" s="382"/>
      <c r="N35" s="383"/>
      <c r="O35" s="383"/>
    </row>
    <row r="36" spans="1:15" ht="12.75" customHeight="1" x14ac:dyDescent="0.2">
      <c r="A36" s="766"/>
      <c r="B36" s="297">
        <v>53211030000000</v>
      </c>
      <c r="C36" s="375" t="s">
        <v>32</v>
      </c>
      <c r="D36" s="395">
        <f t="shared" si="4"/>
        <v>0</v>
      </c>
      <c r="E36" s="395">
        <v>0</v>
      </c>
      <c r="F36" s="403">
        <v>0</v>
      </c>
      <c r="G36" s="395">
        <f t="shared" si="2"/>
        <v>0</v>
      </c>
      <c r="H36" s="397">
        <f t="shared" si="3"/>
        <v>0</v>
      </c>
      <c r="I36" s="294"/>
      <c r="J36" s="294"/>
      <c r="L36" s="298" t="s">
        <v>44</v>
      </c>
      <c r="M36" s="376">
        <v>0</v>
      </c>
      <c r="N36" s="317">
        <f t="shared" si="0"/>
        <v>0</v>
      </c>
      <c r="O36" s="317">
        <f t="shared" si="1"/>
        <v>0</v>
      </c>
    </row>
    <row r="37" spans="1:15" ht="12.75" customHeight="1" x14ac:dyDescent="0.2">
      <c r="A37" s="766"/>
      <c r="B37" s="297">
        <v>53212020100000</v>
      </c>
      <c r="C37" s="375" t="s">
        <v>179</v>
      </c>
      <c r="D37" s="395">
        <f t="shared" si="4"/>
        <v>1390640</v>
      </c>
      <c r="E37" s="395">
        <v>0</v>
      </c>
      <c r="F37" s="403">
        <v>0</v>
      </c>
      <c r="G37" s="395">
        <f t="shared" si="2"/>
        <v>0</v>
      </c>
      <c r="H37" s="397">
        <f t="shared" si="3"/>
        <v>1390640</v>
      </c>
      <c r="I37" s="294"/>
      <c r="J37" s="294"/>
      <c r="L37" s="381" t="s">
        <v>45</v>
      </c>
      <c r="M37" s="384"/>
      <c r="N37" s="385"/>
      <c r="O37" s="385"/>
    </row>
    <row r="38" spans="1:15" ht="12.75" customHeight="1" x14ac:dyDescent="0.2">
      <c r="A38" s="766"/>
      <c r="B38" s="297">
        <v>53214020000000</v>
      </c>
      <c r="C38" s="375" t="s">
        <v>180</v>
      </c>
      <c r="D38" s="395">
        <f t="shared" si="4"/>
        <v>0</v>
      </c>
      <c r="E38" s="395">
        <v>0</v>
      </c>
      <c r="F38" s="403">
        <v>0</v>
      </c>
      <c r="G38" s="395">
        <f t="shared" si="2"/>
        <v>0</v>
      </c>
      <c r="H38" s="397">
        <f t="shared" si="3"/>
        <v>0</v>
      </c>
      <c r="I38" s="294"/>
      <c r="J38" s="294"/>
      <c r="L38" s="298" t="s">
        <v>47</v>
      </c>
      <c r="M38" s="376">
        <v>1195000</v>
      </c>
      <c r="N38" s="317">
        <f t="shared" si="0"/>
        <v>956000</v>
      </c>
      <c r="O38" s="317">
        <f t="shared" si="1"/>
        <v>239000</v>
      </c>
    </row>
    <row r="39" spans="1:15" ht="15.75" customHeight="1" x14ac:dyDescent="0.2">
      <c r="A39" s="766"/>
      <c r="B39" s="311"/>
      <c r="C39" s="378" t="s">
        <v>34</v>
      </c>
      <c r="D39" s="300">
        <f>+D40+D45+D47+D56+D65+D73</f>
        <v>4921892</v>
      </c>
      <c r="E39" s="404"/>
      <c r="F39" s="404"/>
      <c r="G39" s="300">
        <f>+G40+G45+G47+G56+G65+G73</f>
        <v>820580</v>
      </c>
      <c r="H39" s="300">
        <f>+H40+H45+H47+H56+H65+H73</f>
        <v>5742472</v>
      </c>
      <c r="I39" s="294"/>
      <c r="J39" s="294"/>
      <c r="L39" s="298" t="s">
        <v>211</v>
      </c>
      <c r="M39" s="376">
        <v>150000</v>
      </c>
      <c r="N39" s="317">
        <f t="shared" si="0"/>
        <v>120000</v>
      </c>
      <c r="O39" s="317">
        <f t="shared" si="1"/>
        <v>30000</v>
      </c>
    </row>
    <row r="40" spans="1:15" ht="12.75" customHeight="1" x14ac:dyDescent="0.2">
      <c r="A40" s="766"/>
      <c r="B40" s="295"/>
      <c r="C40" s="381" t="s">
        <v>35</v>
      </c>
      <c r="D40" s="391">
        <f>SUM(D41:D44)</f>
        <v>163144</v>
      </c>
      <c r="E40" s="392"/>
      <c r="F40" s="392"/>
      <c r="G40" s="391">
        <f>SUM(G41:G44)</f>
        <v>234680</v>
      </c>
      <c r="H40" s="391">
        <f>SUM(H41:H44)</f>
        <v>397824</v>
      </c>
      <c r="I40" s="294"/>
      <c r="J40" s="294"/>
      <c r="L40" s="298" t="s">
        <v>49</v>
      </c>
      <c r="M40" s="376">
        <v>100000</v>
      </c>
      <c r="N40" s="317">
        <f t="shared" si="0"/>
        <v>80000</v>
      </c>
      <c r="O40" s="317">
        <f t="shared" si="1"/>
        <v>20000</v>
      </c>
    </row>
    <row r="41" spans="1:15" ht="12.75" customHeight="1" x14ac:dyDescent="0.2">
      <c r="A41" s="766"/>
      <c r="B41" s="297">
        <v>53202020100000</v>
      </c>
      <c r="C41" s="375" t="s">
        <v>181</v>
      </c>
      <c r="D41" s="398">
        <v>0</v>
      </c>
      <c r="E41" s="399">
        <v>28620</v>
      </c>
      <c r="F41" s="493">
        <v>7</v>
      </c>
      <c r="G41" s="395">
        <f>E41*F41</f>
        <v>200340</v>
      </c>
      <c r="H41" s="397">
        <f t="shared" ref="H41:H74" si="5">D41+G41</f>
        <v>200340</v>
      </c>
      <c r="I41" s="294"/>
      <c r="J41" s="294"/>
      <c r="L41" s="298" t="s">
        <v>50</v>
      </c>
      <c r="M41" s="376">
        <v>0</v>
      </c>
      <c r="N41" s="317">
        <f t="shared" si="0"/>
        <v>0</v>
      </c>
      <c r="O41" s="317">
        <f t="shared" si="1"/>
        <v>0</v>
      </c>
    </row>
    <row r="42" spans="1:15" ht="12.75" customHeight="1" x14ac:dyDescent="0.2">
      <c r="A42" s="766"/>
      <c r="B42" s="297">
        <v>53202030000000</v>
      </c>
      <c r="C42" s="375" t="s">
        <v>182</v>
      </c>
      <c r="D42" s="398">
        <v>0</v>
      </c>
      <c r="E42" s="399">
        <v>34340</v>
      </c>
      <c r="F42" s="493">
        <v>1</v>
      </c>
      <c r="G42" s="395">
        <f t="shared" ref="G42:G74" si="6">E42*F42</f>
        <v>34340</v>
      </c>
      <c r="H42" s="397">
        <f t="shared" si="5"/>
        <v>34340</v>
      </c>
      <c r="I42" s="294"/>
      <c r="J42" s="294"/>
      <c r="L42" s="298" t="s">
        <v>51</v>
      </c>
      <c r="M42" s="376">
        <v>0</v>
      </c>
      <c r="N42" s="317">
        <f t="shared" si="0"/>
        <v>0</v>
      </c>
      <c r="O42" s="317">
        <f t="shared" si="1"/>
        <v>0</v>
      </c>
    </row>
    <row r="43" spans="1:15" ht="12.75" customHeight="1" x14ac:dyDescent="0.2">
      <c r="A43" s="766"/>
      <c r="B43" s="297">
        <v>53211020000000</v>
      </c>
      <c r="C43" s="375" t="s">
        <v>41</v>
      </c>
      <c r="D43" s="405">
        <f>N33</f>
        <v>0</v>
      </c>
      <c r="E43" s="405">
        <v>0</v>
      </c>
      <c r="F43" s="406">
        <v>0</v>
      </c>
      <c r="G43" s="395">
        <f t="shared" si="6"/>
        <v>0</v>
      </c>
      <c r="H43" s="397">
        <f t="shared" si="5"/>
        <v>0</v>
      </c>
      <c r="I43" s="294"/>
      <c r="J43" s="294"/>
      <c r="L43" s="298" t="s">
        <v>52</v>
      </c>
      <c r="M43" s="377">
        <v>300000</v>
      </c>
      <c r="N43" s="317">
        <f t="shared" si="0"/>
        <v>240000</v>
      </c>
      <c r="O43" s="317">
        <f t="shared" si="1"/>
        <v>60000</v>
      </c>
    </row>
    <row r="44" spans="1:15" ht="12.75" customHeight="1" x14ac:dyDescent="0.2">
      <c r="A44" s="766"/>
      <c r="B44" s="297">
        <v>53101040600000</v>
      </c>
      <c r="C44" s="375" t="s">
        <v>183</v>
      </c>
      <c r="D44" s="405">
        <f>N34</f>
        <v>163144</v>
      </c>
      <c r="E44" s="405">
        <v>0</v>
      </c>
      <c r="F44" s="406">
        <v>0</v>
      </c>
      <c r="G44" s="395">
        <f t="shared" si="6"/>
        <v>0</v>
      </c>
      <c r="H44" s="397">
        <f t="shared" si="5"/>
        <v>163144</v>
      </c>
      <c r="I44" s="294"/>
      <c r="J44" s="294"/>
      <c r="L44" s="318" t="s">
        <v>184</v>
      </c>
      <c r="M44" s="377">
        <v>0</v>
      </c>
      <c r="N44" s="317">
        <f t="shared" si="0"/>
        <v>0</v>
      </c>
      <c r="O44" s="317">
        <f t="shared" si="1"/>
        <v>0</v>
      </c>
    </row>
    <row r="45" spans="1:15" ht="12.75" customHeight="1" x14ac:dyDescent="0.2">
      <c r="A45" s="766"/>
      <c r="B45" s="295"/>
      <c r="C45" s="381" t="s">
        <v>42</v>
      </c>
      <c r="D45" s="391">
        <f>SUM(D46:D46)</f>
        <v>0</v>
      </c>
      <c r="E45" s="392"/>
      <c r="F45" s="392"/>
      <c r="G45" s="407">
        <f>SUM(G46:G46)</f>
        <v>0</v>
      </c>
      <c r="H45" s="408">
        <f>SUM(H46:H46)</f>
        <v>0</v>
      </c>
      <c r="I45" s="294"/>
      <c r="J45" s="294"/>
      <c r="L45" s="298" t="s">
        <v>176</v>
      </c>
      <c r="M45" s="376">
        <v>516240</v>
      </c>
      <c r="N45" s="317">
        <f t="shared" si="0"/>
        <v>412992</v>
      </c>
      <c r="O45" s="317">
        <f t="shared" si="1"/>
        <v>103248</v>
      </c>
    </row>
    <row r="46" spans="1:15" ht="12.75" customHeight="1" x14ac:dyDescent="0.2">
      <c r="A46" s="766"/>
      <c r="B46" s="301">
        <v>53205990000000</v>
      </c>
      <c r="C46" s="375" t="s">
        <v>44</v>
      </c>
      <c r="D46" s="405">
        <f>N36</f>
        <v>0</v>
      </c>
      <c r="E46" s="405">
        <v>0</v>
      </c>
      <c r="F46" s="406">
        <v>0</v>
      </c>
      <c r="G46" s="395">
        <f t="shared" si="6"/>
        <v>0</v>
      </c>
      <c r="H46" s="397">
        <f t="shared" si="5"/>
        <v>0</v>
      </c>
      <c r="I46" s="294"/>
      <c r="J46" s="294"/>
      <c r="L46" s="381" t="s">
        <v>55</v>
      </c>
      <c r="M46" s="384"/>
      <c r="N46" s="385"/>
      <c r="O46" s="385"/>
    </row>
    <row r="47" spans="1:15" ht="12.75" customHeight="1" x14ac:dyDescent="0.2">
      <c r="A47" s="766"/>
      <c r="B47" s="295"/>
      <c r="C47" s="381" t="s">
        <v>45</v>
      </c>
      <c r="D47" s="391">
        <f>SUM(D48:D55)</f>
        <v>1808992</v>
      </c>
      <c r="E47" s="392"/>
      <c r="F47" s="392"/>
      <c r="G47" s="391">
        <f>SUM(G48:G55)</f>
        <v>0</v>
      </c>
      <c r="H47" s="296">
        <f>SUM(H48:H55)</f>
        <v>1808992</v>
      </c>
      <c r="I47" s="294"/>
      <c r="J47" s="294"/>
      <c r="L47" s="298" t="s">
        <v>56</v>
      </c>
      <c r="M47" s="376">
        <v>0</v>
      </c>
      <c r="N47" s="317">
        <f t="shared" si="0"/>
        <v>0</v>
      </c>
      <c r="O47" s="317">
        <f t="shared" si="1"/>
        <v>0</v>
      </c>
    </row>
    <row r="48" spans="1:15" ht="12.75" customHeight="1" x14ac:dyDescent="0.2">
      <c r="A48" s="766"/>
      <c r="B48" s="297">
        <v>53204010000000</v>
      </c>
      <c r="C48" s="375" t="s">
        <v>47</v>
      </c>
      <c r="D48" s="405">
        <f t="shared" ref="D48:D55" si="7">N38</f>
        <v>956000</v>
      </c>
      <c r="E48" s="405">
        <v>0</v>
      </c>
      <c r="F48" s="406">
        <v>0</v>
      </c>
      <c r="G48" s="405">
        <f t="shared" si="6"/>
        <v>0</v>
      </c>
      <c r="H48" s="397">
        <f t="shared" si="5"/>
        <v>956000</v>
      </c>
      <c r="I48" s="294"/>
      <c r="J48" s="294"/>
      <c r="L48" s="298" t="s">
        <v>57</v>
      </c>
      <c r="M48" s="376">
        <v>0</v>
      </c>
      <c r="N48" s="317">
        <f t="shared" si="0"/>
        <v>0</v>
      </c>
      <c r="O48" s="317">
        <f t="shared" si="1"/>
        <v>0</v>
      </c>
    </row>
    <row r="49" spans="1:15" ht="12.75" customHeight="1" x14ac:dyDescent="0.2">
      <c r="A49" s="766"/>
      <c r="B49" s="301">
        <v>53204040200000</v>
      </c>
      <c r="C49" s="375" t="s">
        <v>211</v>
      </c>
      <c r="D49" s="405">
        <f t="shared" si="7"/>
        <v>120000</v>
      </c>
      <c r="E49" s="405">
        <v>0</v>
      </c>
      <c r="F49" s="406">
        <v>0</v>
      </c>
      <c r="G49" s="405">
        <f t="shared" si="6"/>
        <v>0</v>
      </c>
      <c r="H49" s="397">
        <f t="shared" si="5"/>
        <v>120000</v>
      </c>
      <c r="I49" s="294"/>
      <c r="J49" s="294"/>
      <c r="L49" s="298" t="s">
        <v>167</v>
      </c>
      <c r="M49" s="376">
        <v>0</v>
      </c>
      <c r="N49" s="317">
        <f t="shared" si="0"/>
        <v>0</v>
      </c>
      <c r="O49" s="317">
        <f t="shared" si="1"/>
        <v>0</v>
      </c>
    </row>
    <row r="50" spans="1:15" ht="12.75" customHeight="1" x14ac:dyDescent="0.2">
      <c r="A50" s="766"/>
      <c r="B50" s="297">
        <v>53204060000000</v>
      </c>
      <c r="C50" s="375" t="s">
        <v>49</v>
      </c>
      <c r="D50" s="405">
        <f t="shared" si="7"/>
        <v>80000</v>
      </c>
      <c r="E50" s="405">
        <v>0</v>
      </c>
      <c r="F50" s="406">
        <v>0</v>
      </c>
      <c r="G50" s="405">
        <f t="shared" si="6"/>
        <v>0</v>
      </c>
      <c r="H50" s="397">
        <f t="shared" si="5"/>
        <v>80000</v>
      </c>
      <c r="I50" s="294"/>
      <c r="J50" s="294"/>
      <c r="L50" s="298" t="s">
        <v>185</v>
      </c>
      <c r="M50" s="376">
        <v>430200</v>
      </c>
      <c r="N50" s="317">
        <f t="shared" si="0"/>
        <v>344160</v>
      </c>
      <c r="O50" s="317">
        <f t="shared" si="1"/>
        <v>86040</v>
      </c>
    </row>
    <row r="51" spans="1:15" ht="12.75" customHeight="1" x14ac:dyDescent="0.2">
      <c r="A51" s="766"/>
      <c r="B51" s="297">
        <v>53204070000000</v>
      </c>
      <c r="C51" s="375" t="s">
        <v>50</v>
      </c>
      <c r="D51" s="405">
        <f t="shared" si="7"/>
        <v>0</v>
      </c>
      <c r="E51" s="405">
        <v>0</v>
      </c>
      <c r="F51" s="406">
        <v>0</v>
      </c>
      <c r="G51" s="405">
        <f t="shared" si="6"/>
        <v>0</v>
      </c>
      <c r="H51" s="397">
        <f t="shared" si="5"/>
        <v>0</v>
      </c>
      <c r="I51" s="294"/>
      <c r="J51" s="294"/>
      <c r="L51" s="298" t="s">
        <v>188</v>
      </c>
      <c r="M51" s="376">
        <v>0</v>
      </c>
      <c r="N51" s="317">
        <f t="shared" si="0"/>
        <v>0</v>
      </c>
      <c r="O51" s="317">
        <f t="shared" si="1"/>
        <v>0</v>
      </c>
    </row>
    <row r="52" spans="1:15" ht="12.75" customHeight="1" x14ac:dyDescent="0.2">
      <c r="A52" s="766"/>
      <c r="B52" s="297">
        <v>53204080000000</v>
      </c>
      <c r="C52" s="375" t="s">
        <v>51</v>
      </c>
      <c r="D52" s="405">
        <f t="shared" si="7"/>
        <v>0</v>
      </c>
      <c r="E52" s="405">
        <v>0</v>
      </c>
      <c r="F52" s="406">
        <v>0</v>
      </c>
      <c r="G52" s="405">
        <f t="shared" si="6"/>
        <v>0</v>
      </c>
      <c r="H52" s="397">
        <f t="shared" si="5"/>
        <v>0</v>
      </c>
      <c r="I52" s="294"/>
      <c r="J52" s="294"/>
      <c r="L52" s="298" t="s">
        <v>186</v>
      </c>
      <c r="M52" s="376">
        <v>171700</v>
      </c>
      <c r="N52" s="317">
        <f t="shared" si="0"/>
        <v>137360</v>
      </c>
      <c r="O52" s="317">
        <f t="shared" si="1"/>
        <v>34340</v>
      </c>
    </row>
    <row r="53" spans="1:15" ht="12.75" customHeight="1" x14ac:dyDescent="0.2">
      <c r="A53" s="766"/>
      <c r="B53" s="297">
        <v>53214010000000</v>
      </c>
      <c r="C53" s="375" t="s">
        <v>52</v>
      </c>
      <c r="D53" s="409">
        <f t="shared" si="7"/>
        <v>240000</v>
      </c>
      <c r="E53" s="409">
        <v>0</v>
      </c>
      <c r="F53" s="406">
        <v>0</v>
      </c>
      <c r="G53" s="405">
        <f t="shared" si="6"/>
        <v>0</v>
      </c>
      <c r="H53" s="397">
        <f t="shared" si="5"/>
        <v>240000</v>
      </c>
      <c r="I53" s="294"/>
      <c r="J53" s="294"/>
      <c r="L53" s="298" t="s">
        <v>64</v>
      </c>
      <c r="M53" s="674">
        <v>2185295</v>
      </c>
      <c r="N53" s="317">
        <f t="shared" si="0"/>
        <v>1748236</v>
      </c>
      <c r="O53" s="317">
        <f t="shared" si="1"/>
        <v>437059</v>
      </c>
    </row>
    <row r="54" spans="1:15" ht="12.75" customHeight="1" x14ac:dyDescent="0.2">
      <c r="A54" s="766"/>
      <c r="B54" s="297">
        <v>53214040000000</v>
      </c>
      <c r="C54" s="375" t="s">
        <v>184</v>
      </c>
      <c r="D54" s="409">
        <f t="shared" si="7"/>
        <v>0</v>
      </c>
      <c r="E54" s="409">
        <v>0</v>
      </c>
      <c r="F54" s="406">
        <v>0</v>
      </c>
      <c r="G54" s="405">
        <f t="shared" si="6"/>
        <v>0</v>
      </c>
      <c r="H54" s="397">
        <f t="shared" si="5"/>
        <v>0</v>
      </c>
      <c r="I54" s="294"/>
      <c r="J54" s="294"/>
      <c r="L54" s="381" t="s">
        <v>65</v>
      </c>
      <c r="M54" s="386"/>
      <c r="N54" s="385"/>
      <c r="O54" s="385"/>
    </row>
    <row r="55" spans="1:15" ht="12.75" customHeight="1" x14ac:dyDescent="0.2">
      <c r="A55" s="766"/>
      <c r="B55" s="316">
        <v>53204020100000</v>
      </c>
      <c r="C55" s="375" t="s">
        <v>176</v>
      </c>
      <c r="D55" s="405">
        <f t="shared" si="7"/>
        <v>412992</v>
      </c>
      <c r="E55" s="405">
        <v>0</v>
      </c>
      <c r="F55" s="406">
        <v>0</v>
      </c>
      <c r="G55" s="405">
        <f t="shared" si="6"/>
        <v>0</v>
      </c>
      <c r="H55" s="397">
        <f t="shared" si="5"/>
        <v>412992</v>
      </c>
      <c r="I55" s="294"/>
      <c r="J55" s="294"/>
      <c r="L55" s="298" t="s">
        <v>99</v>
      </c>
      <c r="M55" s="376">
        <v>0</v>
      </c>
      <c r="N55" s="317">
        <f t="shared" si="0"/>
        <v>0</v>
      </c>
      <c r="O55" s="317">
        <f t="shared" si="1"/>
        <v>0</v>
      </c>
    </row>
    <row r="56" spans="1:15" ht="12.75" customHeight="1" x14ac:dyDescent="0.2">
      <c r="A56" s="766"/>
      <c r="B56" s="295"/>
      <c r="C56" s="381" t="s">
        <v>55</v>
      </c>
      <c r="D56" s="391">
        <f>SUM(D57:D64)</f>
        <v>2229756</v>
      </c>
      <c r="E56" s="392"/>
      <c r="F56" s="392"/>
      <c r="G56" s="391">
        <f>SUM(G57:G64)</f>
        <v>508400</v>
      </c>
      <c r="H56" s="296">
        <f>SUM(H57:H64)</f>
        <v>2738156</v>
      </c>
      <c r="I56" s="294"/>
      <c r="J56" s="294"/>
      <c r="L56" s="298" t="s">
        <v>100</v>
      </c>
      <c r="M56" s="376">
        <v>0</v>
      </c>
      <c r="N56" s="317">
        <f t="shared" si="0"/>
        <v>0</v>
      </c>
      <c r="O56" s="317">
        <f t="shared" si="1"/>
        <v>0</v>
      </c>
    </row>
    <row r="57" spans="1:15" ht="12.75" customHeight="1" x14ac:dyDescent="0.2">
      <c r="A57" s="766"/>
      <c r="B57" s="297">
        <v>53207010000000</v>
      </c>
      <c r="C57" s="375" t="s">
        <v>56</v>
      </c>
      <c r="D57" s="405">
        <f>N47</f>
        <v>0</v>
      </c>
      <c r="E57" s="405">
        <v>0</v>
      </c>
      <c r="F57" s="406">
        <v>0</v>
      </c>
      <c r="G57" s="405">
        <f t="shared" si="6"/>
        <v>0</v>
      </c>
      <c r="H57" s="397">
        <f t="shared" si="5"/>
        <v>0</v>
      </c>
      <c r="I57" s="294"/>
      <c r="J57" s="294"/>
      <c r="L57" s="298" t="s">
        <v>189</v>
      </c>
      <c r="M57" s="376">
        <v>400000</v>
      </c>
      <c r="N57" s="317">
        <f t="shared" si="0"/>
        <v>320000</v>
      </c>
      <c r="O57" s="317">
        <f t="shared" si="1"/>
        <v>80000</v>
      </c>
    </row>
    <row r="58" spans="1:15" ht="12.75" customHeight="1" x14ac:dyDescent="0.2">
      <c r="A58" s="766"/>
      <c r="B58" s="297">
        <v>53207020000000</v>
      </c>
      <c r="C58" s="375" t="s">
        <v>57</v>
      </c>
      <c r="D58" s="405">
        <f>N48</f>
        <v>0</v>
      </c>
      <c r="E58" s="405">
        <v>0</v>
      </c>
      <c r="F58" s="406">
        <v>0</v>
      </c>
      <c r="G58" s="405">
        <f t="shared" si="6"/>
        <v>0</v>
      </c>
      <c r="H58" s="397">
        <f t="shared" si="5"/>
        <v>0</v>
      </c>
      <c r="I58" s="294"/>
      <c r="J58" s="294"/>
      <c r="L58" s="298" t="s">
        <v>102</v>
      </c>
      <c r="M58" s="376">
        <v>0</v>
      </c>
      <c r="N58" s="317">
        <f t="shared" si="0"/>
        <v>0</v>
      </c>
      <c r="O58" s="317">
        <f t="shared" si="1"/>
        <v>0</v>
      </c>
    </row>
    <row r="59" spans="1:15" ht="12.75" customHeight="1" x14ac:dyDescent="0.2">
      <c r="A59" s="766"/>
      <c r="B59" s="297">
        <v>53208020000000</v>
      </c>
      <c r="C59" s="375" t="s">
        <v>167</v>
      </c>
      <c r="D59" s="405">
        <f>N49</f>
        <v>0</v>
      </c>
      <c r="E59" s="405">
        <v>0</v>
      </c>
      <c r="F59" s="406">
        <v>0</v>
      </c>
      <c r="G59" s="405">
        <f t="shared" si="6"/>
        <v>0</v>
      </c>
      <c r="H59" s="397">
        <f t="shared" si="5"/>
        <v>0</v>
      </c>
      <c r="I59" s="294"/>
      <c r="J59" s="294"/>
      <c r="L59" s="318" t="s">
        <v>190</v>
      </c>
      <c r="M59" s="376">
        <v>0</v>
      </c>
      <c r="N59" s="317">
        <f t="shared" si="0"/>
        <v>0</v>
      </c>
      <c r="O59" s="317">
        <f t="shared" si="1"/>
        <v>0</v>
      </c>
    </row>
    <row r="60" spans="1:15" ht="12.75" customHeight="1" x14ac:dyDescent="0.2">
      <c r="A60" s="766"/>
      <c r="B60" s="297">
        <v>53208990000000</v>
      </c>
      <c r="C60" s="375" t="s">
        <v>185</v>
      </c>
      <c r="D60" s="405">
        <f>N50</f>
        <v>344160</v>
      </c>
      <c r="E60" s="405">
        <v>0</v>
      </c>
      <c r="F60" s="406">
        <v>0</v>
      </c>
      <c r="G60" s="405">
        <f t="shared" si="6"/>
        <v>0</v>
      </c>
      <c r="H60" s="397">
        <f t="shared" si="5"/>
        <v>344160</v>
      </c>
      <c r="I60" s="294"/>
      <c r="J60" s="294"/>
      <c r="L60" s="298" t="s">
        <v>104</v>
      </c>
      <c r="M60" s="376">
        <v>500000</v>
      </c>
      <c r="N60" s="317">
        <f t="shared" si="0"/>
        <v>400000</v>
      </c>
      <c r="O60" s="317">
        <f t="shared" si="1"/>
        <v>100000</v>
      </c>
    </row>
    <row r="61" spans="1:15" ht="12.75" customHeight="1" x14ac:dyDescent="0.2">
      <c r="A61" s="766"/>
      <c r="B61" s="316">
        <v>53210020300000</v>
      </c>
      <c r="C61" s="375" t="s">
        <v>187</v>
      </c>
      <c r="D61" s="667">
        <v>0</v>
      </c>
      <c r="E61" s="667">
        <v>8200</v>
      </c>
      <c r="F61" s="668">
        <f>+'B) Reajuste Tarifas y Ocupación'!I25</f>
        <v>62</v>
      </c>
      <c r="G61" s="669">
        <f t="shared" si="6"/>
        <v>508400</v>
      </c>
      <c r="H61" s="670">
        <f t="shared" si="5"/>
        <v>508400</v>
      </c>
      <c r="I61" s="294"/>
      <c r="J61" s="294"/>
      <c r="L61" s="298" t="s">
        <v>212</v>
      </c>
      <c r="M61" s="376">
        <v>0</v>
      </c>
      <c r="N61" s="317">
        <f t="shared" si="0"/>
        <v>0</v>
      </c>
      <c r="O61" s="317">
        <f t="shared" si="1"/>
        <v>0</v>
      </c>
    </row>
    <row r="62" spans="1:15" ht="12.75" customHeight="1" x14ac:dyDescent="0.2">
      <c r="A62" s="766"/>
      <c r="B62" s="297">
        <v>53208990000000</v>
      </c>
      <c r="C62" s="375" t="s">
        <v>188</v>
      </c>
      <c r="D62" s="395">
        <f>N51</f>
        <v>0</v>
      </c>
      <c r="E62" s="395">
        <v>0</v>
      </c>
      <c r="F62" s="403">
        <v>0</v>
      </c>
      <c r="G62" s="395">
        <f t="shared" si="6"/>
        <v>0</v>
      </c>
      <c r="H62" s="397">
        <f t="shared" si="5"/>
        <v>0</v>
      </c>
      <c r="I62" s="294"/>
      <c r="J62" s="294"/>
    </row>
    <row r="63" spans="1:15" ht="12.75" customHeight="1" x14ac:dyDescent="0.2">
      <c r="A63" s="766"/>
      <c r="B63" s="297">
        <v>53209990000000</v>
      </c>
      <c r="C63" s="375" t="s">
        <v>186</v>
      </c>
      <c r="D63" s="395">
        <f>N52</f>
        <v>137360</v>
      </c>
      <c r="E63" s="395">
        <v>0</v>
      </c>
      <c r="F63" s="403">
        <v>0</v>
      </c>
      <c r="G63" s="395">
        <f t="shared" si="6"/>
        <v>0</v>
      </c>
      <c r="H63" s="397">
        <f t="shared" si="5"/>
        <v>137360</v>
      </c>
      <c r="I63" s="294"/>
      <c r="J63" s="294"/>
    </row>
    <row r="64" spans="1:15" ht="12.75" customHeight="1" x14ac:dyDescent="0.2">
      <c r="A64" s="766"/>
      <c r="B64" s="297">
        <v>53210020100000</v>
      </c>
      <c r="C64" s="375" t="s">
        <v>64</v>
      </c>
      <c r="D64" s="395">
        <f>N53</f>
        <v>1748236</v>
      </c>
      <c r="E64" s="395">
        <v>0</v>
      </c>
      <c r="F64" s="403">
        <v>0</v>
      </c>
      <c r="G64" s="395">
        <f t="shared" si="6"/>
        <v>0</v>
      </c>
      <c r="H64" s="397">
        <f t="shared" si="5"/>
        <v>1748236</v>
      </c>
      <c r="I64" s="294"/>
      <c r="J64" s="294"/>
    </row>
    <row r="65" spans="1:10" ht="12.75" customHeight="1" x14ac:dyDescent="0.2">
      <c r="A65" s="766"/>
      <c r="B65" s="295"/>
      <c r="C65" s="381" t="s">
        <v>65</v>
      </c>
      <c r="D65" s="391">
        <f>SUM(D66:D72)</f>
        <v>720000</v>
      </c>
      <c r="E65" s="392"/>
      <c r="F65" s="392"/>
      <c r="G65" s="391">
        <f>SUM(G66:G72)</f>
        <v>0</v>
      </c>
      <c r="H65" s="296">
        <f>SUM(H66:H72)</f>
        <v>720000</v>
      </c>
      <c r="I65" s="294"/>
      <c r="J65" s="294"/>
    </row>
    <row r="66" spans="1:10" ht="12.75" customHeight="1" x14ac:dyDescent="0.2">
      <c r="A66" s="766"/>
      <c r="B66" s="297">
        <v>53206030000000</v>
      </c>
      <c r="C66" s="375" t="s">
        <v>99</v>
      </c>
      <c r="D66" s="405">
        <f t="shared" ref="D66:D72" si="8">N55</f>
        <v>0</v>
      </c>
      <c r="E66" s="405">
        <v>0</v>
      </c>
      <c r="F66" s="406">
        <v>0</v>
      </c>
      <c r="G66" s="395">
        <f t="shared" si="6"/>
        <v>0</v>
      </c>
      <c r="H66" s="397">
        <f t="shared" si="5"/>
        <v>0</v>
      </c>
      <c r="I66" s="294"/>
      <c r="J66" s="294"/>
    </row>
    <row r="67" spans="1:10" ht="12.75" customHeight="1" x14ac:dyDescent="0.2">
      <c r="A67" s="766"/>
      <c r="B67" s="297">
        <v>53206040000000</v>
      </c>
      <c r="C67" s="375" t="s">
        <v>100</v>
      </c>
      <c r="D67" s="405">
        <f t="shared" si="8"/>
        <v>0</v>
      </c>
      <c r="E67" s="405">
        <v>0</v>
      </c>
      <c r="F67" s="406">
        <v>0</v>
      </c>
      <c r="G67" s="395">
        <f t="shared" si="6"/>
        <v>0</v>
      </c>
      <c r="H67" s="397">
        <f t="shared" si="5"/>
        <v>0</v>
      </c>
      <c r="I67" s="294"/>
      <c r="J67" s="294"/>
    </row>
    <row r="68" spans="1:10" ht="12.75" customHeight="1" x14ac:dyDescent="0.2">
      <c r="A68" s="766"/>
      <c r="B68" s="297">
        <v>53206060000000</v>
      </c>
      <c r="C68" s="375" t="s">
        <v>189</v>
      </c>
      <c r="D68" s="405">
        <f t="shared" si="8"/>
        <v>320000</v>
      </c>
      <c r="E68" s="405">
        <v>0</v>
      </c>
      <c r="F68" s="406">
        <v>0</v>
      </c>
      <c r="G68" s="395">
        <f t="shared" si="6"/>
        <v>0</v>
      </c>
      <c r="H68" s="397">
        <f t="shared" si="5"/>
        <v>320000</v>
      </c>
      <c r="I68" s="294"/>
      <c r="J68" s="294"/>
    </row>
    <row r="69" spans="1:10" ht="12.75" customHeight="1" x14ac:dyDescent="0.2">
      <c r="A69" s="766"/>
      <c r="B69" s="297">
        <v>53206070000000</v>
      </c>
      <c r="C69" s="375" t="s">
        <v>102</v>
      </c>
      <c r="D69" s="405">
        <f t="shared" si="8"/>
        <v>0</v>
      </c>
      <c r="E69" s="405">
        <v>0</v>
      </c>
      <c r="F69" s="406">
        <v>0</v>
      </c>
      <c r="G69" s="395">
        <f t="shared" si="6"/>
        <v>0</v>
      </c>
      <c r="H69" s="397">
        <f t="shared" si="5"/>
        <v>0</v>
      </c>
      <c r="I69" s="294"/>
      <c r="J69" s="294"/>
    </row>
    <row r="70" spans="1:10" ht="12.75" customHeight="1" x14ac:dyDescent="0.2">
      <c r="A70" s="766"/>
      <c r="B70" s="297">
        <v>53206990000000</v>
      </c>
      <c r="C70" s="375" t="s">
        <v>190</v>
      </c>
      <c r="D70" s="405">
        <f t="shared" si="8"/>
        <v>0</v>
      </c>
      <c r="E70" s="405">
        <v>0</v>
      </c>
      <c r="F70" s="406">
        <v>0</v>
      </c>
      <c r="G70" s="395">
        <f t="shared" si="6"/>
        <v>0</v>
      </c>
      <c r="H70" s="397">
        <f t="shared" si="5"/>
        <v>0</v>
      </c>
      <c r="I70" s="294"/>
      <c r="J70" s="294"/>
    </row>
    <row r="71" spans="1:10" ht="12.75" customHeight="1" x14ac:dyDescent="0.2">
      <c r="A71" s="766"/>
      <c r="B71" s="297">
        <v>53208030000000</v>
      </c>
      <c r="C71" s="375" t="s">
        <v>104</v>
      </c>
      <c r="D71" s="405">
        <f t="shared" si="8"/>
        <v>400000</v>
      </c>
      <c r="E71" s="405">
        <v>0</v>
      </c>
      <c r="F71" s="406">
        <v>0</v>
      </c>
      <c r="G71" s="395">
        <f t="shared" si="6"/>
        <v>0</v>
      </c>
      <c r="H71" s="397">
        <f t="shared" si="5"/>
        <v>400000</v>
      </c>
      <c r="I71" s="294"/>
      <c r="J71" s="294"/>
    </row>
    <row r="72" spans="1:10" ht="12.75" customHeight="1" x14ac:dyDescent="0.2">
      <c r="A72" s="766"/>
      <c r="B72" s="297">
        <v>53206990000000</v>
      </c>
      <c r="C72" s="375" t="s">
        <v>212</v>
      </c>
      <c r="D72" s="405">
        <f t="shared" si="8"/>
        <v>0</v>
      </c>
      <c r="E72" s="405">
        <v>0</v>
      </c>
      <c r="F72" s="406">
        <v>0</v>
      </c>
      <c r="G72" s="395">
        <f t="shared" si="6"/>
        <v>0</v>
      </c>
      <c r="H72" s="397">
        <f>D72+G72</f>
        <v>0</v>
      </c>
      <c r="I72" s="294"/>
      <c r="J72" s="294"/>
    </row>
    <row r="73" spans="1:10" ht="12.75" customHeight="1" x14ac:dyDescent="0.2">
      <c r="A73" s="766"/>
      <c r="B73" s="295"/>
      <c r="C73" s="381" t="s">
        <v>66</v>
      </c>
      <c r="D73" s="391">
        <f>SUM(D74:D74)</f>
        <v>0</v>
      </c>
      <c r="E73" s="392"/>
      <c r="F73" s="392"/>
      <c r="G73" s="391">
        <f>SUM(G74:G74)</f>
        <v>77500</v>
      </c>
      <c r="H73" s="296">
        <f>SUM(H74:H74)</f>
        <v>77500</v>
      </c>
      <c r="I73" s="294"/>
      <c r="J73" s="294"/>
    </row>
    <row r="74" spans="1:10" ht="12.75" customHeight="1" x14ac:dyDescent="0.2">
      <c r="A74" s="766"/>
      <c r="B74" s="410"/>
      <c r="C74" s="411" t="s">
        <v>213</v>
      </c>
      <c r="D74" s="398">
        <v>0</v>
      </c>
      <c r="E74" s="398">
        <v>1250</v>
      </c>
      <c r="F74" s="493">
        <v>62</v>
      </c>
      <c r="G74" s="395">
        <f t="shared" si="6"/>
        <v>77500</v>
      </c>
      <c r="H74" s="412">
        <f t="shared" si="5"/>
        <v>77500</v>
      </c>
      <c r="I74" s="413" t="s">
        <v>214</v>
      </c>
      <c r="J74" s="414">
        <f>+H72+H71+H70+H69+H68+H67+H66+H64+H63+H62+H61+H60+H59+H58+H57+H55+H52+H51+H50+H49+H48+H46+H44+H43+H37+H36+H35+H33+H32+H31+H30+H29+H28+H27+H26+H25+H24+H23</f>
        <v>11367916</v>
      </c>
    </row>
    <row r="75" spans="1:10" ht="12.75" customHeight="1" collapsed="1" thickBot="1" x14ac:dyDescent="0.25">
      <c r="A75" s="767"/>
      <c r="B75" s="415"/>
      <c r="C75" s="416" t="s">
        <v>105</v>
      </c>
      <c r="D75" s="417">
        <f>SUM(D12,D39)</f>
        <v>70626692</v>
      </c>
      <c r="E75" s="418"/>
      <c r="F75" s="418"/>
      <c r="G75" s="417">
        <f>SUM(G12,G39)</f>
        <v>19246960</v>
      </c>
      <c r="H75" s="419">
        <f>SUM(H12,H39)</f>
        <v>89873652</v>
      </c>
      <c r="I75" s="420" t="s">
        <v>215</v>
      </c>
      <c r="J75" s="421">
        <f>+H75-J74</f>
        <v>78505736</v>
      </c>
    </row>
    <row r="76" spans="1:10" ht="15.75" customHeight="1" x14ac:dyDescent="0.2">
      <c r="A76" s="832" t="s">
        <v>224</v>
      </c>
      <c r="B76" s="311"/>
      <c r="C76" s="378" t="s">
        <v>11</v>
      </c>
      <c r="D76" s="387">
        <f>SUM(D77+D82)</f>
        <v>28261411.079999998</v>
      </c>
      <c r="E76" s="388"/>
      <c r="F76" s="388"/>
      <c r="G76" s="389">
        <f>SUM(G77,G82)</f>
        <v>4344300</v>
      </c>
      <c r="H76" s="390">
        <f>SUM(H77,H82)</f>
        <v>32605711.079999998</v>
      </c>
      <c r="I76" s="294"/>
      <c r="J76" s="294"/>
    </row>
    <row r="77" spans="1:10" ht="12.75" customHeight="1" x14ac:dyDescent="0.2">
      <c r="A77" s="766"/>
      <c r="B77" s="295"/>
      <c r="C77" s="381" t="s">
        <v>12</v>
      </c>
      <c r="D77" s="391">
        <f>SUM(D78:D81)</f>
        <v>26666615.079999998</v>
      </c>
      <c r="E77" s="392"/>
      <c r="F77" s="392"/>
      <c r="G77" s="393">
        <f>SUM(G78:G81)</f>
        <v>0</v>
      </c>
      <c r="H77" s="296">
        <f>SUM(H78:H81)</f>
        <v>26666615.079999998</v>
      </c>
      <c r="I77" s="294"/>
      <c r="J77" s="294"/>
    </row>
    <row r="78" spans="1:10" ht="12.75" customHeight="1" x14ac:dyDescent="0.2">
      <c r="A78" s="766"/>
      <c r="B78" s="297">
        <v>53103040100000</v>
      </c>
      <c r="C78" s="375" t="s">
        <v>95</v>
      </c>
      <c r="D78" s="394">
        <f>+'F) Remuneraciones'!L23</f>
        <v>26436615.079999998</v>
      </c>
      <c r="E78" s="395">
        <v>0</v>
      </c>
      <c r="F78" s="396">
        <v>0</v>
      </c>
      <c r="G78" s="395">
        <f>E78*F78</f>
        <v>0</v>
      </c>
      <c r="H78" s="397">
        <f>D78+G78</f>
        <v>26436615.079999998</v>
      </c>
      <c r="I78" s="294"/>
      <c r="J78" s="294"/>
    </row>
    <row r="79" spans="1:10" ht="12.75" customHeight="1" x14ac:dyDescent="0.2">
      <c r="A79" s="766"/>
      <c r="B79" s="297">
        <v>53103050000000</v>
      </c>
      <c r="C79" s="375" t="s">
        <v>168</v>
      </c>
      <c r="D79" s="398">
        <v>0</v>
      </c>
      <c r="E79" s="399">
        <v>0</v>
      </c>
      <c r="F79" s="400">
        <v>0</v>
      </c>
      <c r="G79" s="395">
        <f>E79*F79</f>
        <v>0</v>
      </c>
      <c r="H79" s="397">
        <f>D79+G79</f>
        <v>0</v>
      </c>
      <c r="I79" s="294"/>
      <c r="J79" s="294"/>
    </row>
    <row r="80" spans="1:10" ht="12.75" customHeight="1" x14ac:dyDescent="0.2">
      <c r="A80" s="766"/>
      <c r="B80" s="316">
        <v>53103040400000</v>
      </c>
      <c r="C80" s="299" t="s">
        <v>169</v>
      </c>
      <c r="D80" s="398">
        <v>230000</v>
      </c>
      <c r="E80" s="399">
        <v>0</v>
      </c>
      <c r="F80" s="400">
        <v>0</v>
      </c>
      <c r="G80" s="395">
        <f>E80*F80</f>
        <v>0</v>
      </c>
      <c r="H80" s="397">
        <f>D80+G80</f>
        <v>230000</v>
      </c>
      <c r="I80" s="294"/>
      <c r="J80" s="294"/>
    </row>
    <row r="81" spans="1:10" ht="12.75" customHeight="1" x14ac:dyDescent="0.2">
      <c r="A81" s="766"/>
      <c r="B81" s="297">
        <v>53103080010000</v>
      </c>
      <c r="C81" s="375" t="s">
        <v>170</v>
      </c>
      <c r="D81" s="398">
        <v>0</v>
      </c>
      <c r="E81" s="399">
        <v>0</v>
      </c>
      <c r="F81" s="400">
        <v>0</v>
      </c>
      <c r="G81" s="395">
        <f>E81*F81</f>
        <v>0</v>
      </c>
      <c r="H81" s="397">
        <f>D81+G81</f>
        <v>0</v>
      </c>
      <c r="I81" s="294"/>
      <c r="J81" s="294"/>
    </row>
    <row r="82" spans="1:10" ht="12.75" customHeight="1" x14ac:dyDescent="0.2">
      <c r="A82" s="766"/>
      <c r="B82" s="295"/>
      <c r="C82" s="381" t="s">
        <v>16</v>
      </c>
      <c r="D82" s="391">
        <f>SUM(D83:D102)</f>
        <v>1594796</v>
      </c>
      <c r="E82" s="392"/>
      <c r="F82" s="392"/>
      <c r="G82" s="391">
        <f>SUM(G83:G102)</f>
        <v>4344300</v>
      </c>
      <c r="H82" s="296">
        <f>SUM(H83:H102)</f>
        <v>5939096</v>
      </c>
      <c r="I82" s="294"/>
      <c r="J82" s="294"/>
    </row>
    <row r="83" spans="1:10" ht="12.75" customHeight="1" x14ac:dyDescent="0.2">
      <c r="A83" s="766"/>
      <c r="B83" s="297">
        <v>53201010100000</v>
      </c>
      <c r="C83" s="401" t="s">
        <v>171</v>
      </c>
      <c r="D83" s="398">
        <v>0</v>
      </c>
      <c r="E83" s="714">
        <v>1859</v>
      </c>
      <c r="F83" s="715">
        <f>+(20*3)*11</f>
        <v>660</v>
      </c>
      <c r="G83" s="395">
        <f t="shared" ref="G83:G102" si="9">E83*F83</f>
        <v>1226940</v>
      </c>
      <c r="H83" s="397">
        <f t="shared" ref="H83:H88" si="10">D83+G83</f>
        <v>1226940</v>
      </c>
      <c r="I83" s="713"/>
      <c r="J83" s="294"/>
    </row>
    <row r="84" spans="1:10" ht="12.75" customHeight="1" x14ac:dyDescent="0.2">
      <c r="A84" s="766"/>
      <c r="B84" s="297">
        <v>53201010100000</v>
      </c>
      <c r="C84" s="401" t="s">
        <v>172</v>
      </c>
      <c r="D84" s="398">
        <v>0</v>
      </c>
      <c r="E84" s="399">
        <v>1196</v>
      </c>
      <c r="F84" s="400">
        <f>+(10*20)*12</f>
        <v>2400</v>
      </c>
      <c r="G84" s="395">
        <f t="shared" si="9"/>
        <v>2870400</v>
      </c>
      <c r="H84" s="397">
        <f t="shared" si="10"/>
        <v>2870400</v>
      </c>
      <c r="I84" s="294"/>
      <c r="J84" s="294"/>
    </row>
    <row r="85" spans="1:10" ht="12.75" customHeight="1" x14ac:dyDescent="0.2">
      <c r="A85" s="766"/>
      <c r="B85" s="297">
        <v>53201010100000</v>
      </c>
      <c r="C85" s="401" t="s">
        <v>173</v>
      </c>
      <c r="D85" s="398">
        <v>0</v>
      </c>
      <c r="E85" s="399">
        <v>2058</v>
      </c>
      <c r="F85" s="400">
        <f>+(1*20)*6</f>
        <v>120</v>
      </c>
      <c r="G85" s="395">
        <f t="shared" si="9"/>
        <v>246960</v>
      </c>
      <c r="H85" s="397">
        <f t="shared" si="10"/>
        <v>246960</v>
      </c>
      <c r="I85" s="294"/>
      <c r="J85" s="294"/>
    </row>
    <row r="86" spans="1:10" ht="12.75" customHeight="1" x14ac:dyDescent="0.2">
      <c r="A86" s="766"/>
      <c r="B86" s="297">
        <v>53202010100000</v>
      </c>
      <c r="C86" s="375" t="s">
        <v>174</v>
      </c>
      <c r="D86" s="395">
        <f>O14</f>
        <v>50390</v>
      </c>
      <c r="E86" s="395">
        <v>0</v>
      </c>
      <c r="F86" s="422">
        <v>0</v>
      </c>
      <c r="G86" s="395">
        <f t="shared" si="9"/>
        <v>0</v>
      </c>
      <c r="H86" s="397">
        <f t="shared" si="10"/>
        <v>50390</v>
      </c>
      <c r="I86" s="294"/>
      <c r="J86" s="294"/>
    </row>
    <row r="87" spans="1:10" ht="12.75" customHeight="1" x14ac:dyDescent="0.2">
      <c r="A87" s="766"/>
      <c r="B87" s="297">
        <v>53203010100000</v>
      </c>
      <c r="C87" s="375" t="s">
        <v>19</v>
      </c>
      <c r="D87" s="395">
        <f t="shared" ref="D87:D102" si="11">O15</f>
        <v>23900</v>
      </c>
      <c r="E87" s="395">
        <v>0</v>
      </c>
      <c r="F87" s="422">
        <v>0</v>
      </c>
      <c r="G87" s="395">
        <f t="shared" si="9"/>
        <v>0</v>
      </c>
      <c r="H87" s="397">
        <f t="shared" si="10"/>
        <v>23900</v>
      </c>
      <c r="I87" s="294"/>
      <c r="J87" s="294"/>
    </row>
    <row r="88" spans="1:10" ht="12.75" customHeight="1" x14ac:dyDescent="0.2">
      <c r="A88" s="766"/>
      <c r="B88" s="297">
        <v>53203030000000</v>
      </c>
      <c r="C88" s="375" t="s">
        <v>175</v>
      </c>
      <c r="D88" s="395">
        <f t="shared" si="11"/>
        <v>34340</v>
      </c>
      <c r="E88" s="395">
        <v>0</v>
      </c>
      <c r="F88" s="422">
        <v>0</v>
      </c>
      <c r="G88" s="395">
        <f t="shared" si="9"/>
        <v>0</v>
      </c>
      <c r="H88" s="397">
        <f t="shared" si="10"/>
        <v>34340</v>
      </c>
      <c r="I88" s="294"/>
      <c r="J88" s="294"/>
    </row>
    <row r="89" spans="1:10" ht="12.75" customHeight="1" x14ac:dyDescent="0.2">
      <c r="A89" s="766"/>
      <c r="B89" s="297">
        <v>53204030000000</v>
      </c>
      <c r="C89" s="375" t="s">
        <v>210</v>
      </c>
      <c r="D89" s="395">
        <f t="shared" si="11"/>
        <v>17200</v>
      </c>
      <c r="E89" s="395">
        <v>0</v>
      </c>
      <c r="F89" s="422">
        <v>0</v>
      </c>
      <c r="G89" s="395">
        <f t="shared" si="9"/>
        <v>0</v>
      </c>
      <c r="H89" s="397">
        <f>D89+G89</f>
        <v>17200</v>
      </c>
      <c r="I89" s="294"/>
      <c r="J89" s="294"/>
    </row>
    <row r="90" spans="1:10" ht="12.75" customHeight="1" x14ac:dyDescent="0.2">
      <c r="A90" s="766"/>
      <c r="B90" s="297">
        <v>53204100100001</v>
      </c>
      <c r="C90" s="375" t="s">
        <v>22</v>
      </c>
      <c r="D90" s="395">
        <f t="shared" si="11"/>
        <v>0</v>
      </c>
      <c r="E90" s="395">
        <v>0</v>
      </c>
      <c r="F90" s="422">
        <v>0</v>
      </c>
      <c r="G90" s="395">
        <f t="shared" si="9"/>
        <v>0</v>
      </c>
      <c r="H90" s="397">
        <f t="shared" ref="H90:H102" si="12">D90+G90</f>
        <v>0</v>
      </c>
      <c r="I90" s="294"/>
      <c r="J90" s="294"/>
    </row>
    <row r="91" spans="1:10" ht="12.75" customHeight="1" x14ac:dyDescent="0.2">
      <c r="A91" s="766"/>
      <c r="B91" s="297">
        <v>53204130100000</v>
      </c>
      <c r="C91" s="375" t="s">
        <v>177</v>
      </c>
      <c r="D91" s="395">
        <f t="shared" si="11"/>
        <v>0</v>
      </c>
      <c r="E91" s="395">
        <v>0</v>
      </c>
      <c r="F91" s="422">
        <v>0</v>
      </c>
      <c r="G91" s="395">
        <f t="shared" si="9"/>
        <v>0</v>
      </c>
      <c r="H91" s="397">
        <f t="shared" si="12"/>
        <v>0</v>
      </c>
      <c r="I91" s="294"/>
      <c r="J91" s="294"/>
    </row>
    <row r="92" spans="1:10" ht="12.75" customHeight="1" x14ac:dyDescent="0.2">
      <c r="A92" s="766"/>
      <c r="B92" s="297">
        <v>53205010100000</v>
      </c>
      <c r="C92" s="375" t="s">
        <v>24</v>
      </c>
      <c r="D92" s="395">
        <f t="shared" si="11"/>
        <v>307680</v>
      </c>
      <c r="E92" s="395">
        <v>0</v>
      </c>
      <c r="F92" s="422">
        <v>0</v>
      </c>
      <c r="G92" s="395">
        <f t="shared" si="9"/>
        <v>0</v>
      </c>
      <c r="H92" s="397">
        <f t="shared" si="12"/>
        <v>307680</v>
      </c>
      <c r="I92" s="294"/>
      <c r="J92" s="294"/>
    </row>
    <row r="93" spans="1:10" ht="12.75" customHeight="1" x14ac:dyDescent="0.2">
      <c r="A93" s="766"/>
      <c r="B93" s="297">
        <v>53205020100000</v>
      </c>
      <c r="C93" s="375" t="s">
        <v>25</v>
      </c>
      <c r="D93" s="395">
        <f t="shared" si="11"/>
        <v>336350</v>
      </c>
      <c r="E93" s="395">
        <v>0</v>
      </c>
      <c r="F93" s="422">
        <v>0</v>
      </c>
      <c r="G93" s="395">
        <f t="shared" si="9"/>
        <v>0</v>
      </c>
      <c r="H93" s="397">
        <f t="shared" si="12"/>
        <v>336350</v>
      </c>
      <c r="I93" s="294"/>
      <c r="J93" s="294"/>
    </row>
    <row r="94" spans="1:10" ht="12.75" customHeight="1" x14ac:dyDescent="0.2">
      <c r="A94" s="766"/>
      <c r="B94" s="297">
        <v>53205030100000</v>
      </c>
      <c r="C94" s="375" t="s">
        <v>26</v>
      </c>
      <c r="D94" s="395">
        <f t="shared" si="11"/>
        <v>402734</v>
      </c>
      <c r="E94" s="395">
        <v>0</v>
      </c>
      <c r="F94" s="422">
        <v>0</v>
      </c>
      <c r="G94" s="395">
        <f t="shared" si="9"/>
        <v>0</v>
      </c>
      <c r="H94" s="397">
        <f t="shared" si="12"/>
        <v>402734</v>
      </c>
      <c r="I94" s="294"/>
      <c r="J94" s="294"/>
    </row>
    <row r="95" spans="1:10" ht="12.75" customHeight="1" x14ac:dyDescent="0.2">
      <c r="A95" s="766"/>
      <c r="B95" s="297">
        <v>53205050100000</v>
      </c>
      <c r="C95" s="375" t="s">
        <v>27</v>
      </c>
      <c r="D95" s="395">
        <f t="shared" si="11"/>
        <v>0</v>
      </c>
      <c r="E95" s="395">
        <v>0</v>
      </c>
      <c r="F95" s="422">
        <v>0</v>
      </c>
      <c r="G95" s="395">
        <f t="shared" si="9"/>
        <v>0</v>
      </c>
      <c r="H95" s="397">
        <f t="shared" si="12"/>
        <v>0</v>
      </c>
      <c r="I95" s="294"/>
      <c r="J95" s="294"/>
    </row>
    <row r="96" spans="1:10" ht="12.75" customHeight="1" x14ac:dyDescent="0.2">
      <c r="A96" s="766"/>
      <c r="B96" s="297">
        <v>53205070100000</v>
      </c>
      <c r="C96" s="375" t="s">
        <v>29</v>
      </c>
      <c r="D96" s="395">
        <f t="shared" si="11"/>
        <v>74542</v>
      </c>
      <c r="E96" s="395">
        <v>0</v>
      </c>
      <c r="F96" s="422">
        <v>0</v>
      </c>
      <c r="G96" s="395">
        <f t="shared" si="9"/>
        <v>0</v>
      </c>
      <c r="H96" s="397">
        <f t="shared" si="12"/>
        <v>74542</v>
      </c>
      <c r="I96" s="294"/>
      <c r="J96" s="294"/>
    </row>
    <row r="97" spans="1:10" ht="12.75" customHeight="1" x14ac:dyDescent="0.2">
      <c r="A97" s="766"/>
      <c r="B97" s="297">
        <v>53208010100000</v>
      </c>
      <c r="C97" s="375" t="s">
        <v>30</v>
      </c>
      <c r="D97" s="395">
        <f t="shared" si="11"/>
        <v>0</v>
      </c>
      <c r="E97" s="395">
        <v>0</v>
      </c>
      <c r="F97" s="422">
        <v>0</v>
      </c>
      <c r="G97" s="395">
        <f t="shared" si="9"/>
        <v>0</v>
      </c>
      <c r="H97" s="397">
        <f t="shared" si="12"/>
        <v>0</v>
      </c>
      <c r="I97" s="294"/>
      <c r="J97" s="294"/>
    </row>
    <row r="98" spans="1:10" ht="12.75" customHeight="1" x14ac:dyDescent="0.2">
      <c r="A98" s="766"/>
      <c r="B98" s="297">
        <v>53208070100001</v>
      </c>
      <c r="C98" s="375" t="s">
        <v>31</v>
      </c>
      <c r="D98" s="395">
        <f t="shared" si="11"/>
        <v>0</v>
      </c>
      <c r="E98" s="395">
        <v>0</v>
      </c>
      <c r="F98" s="422">
        <v>0</v>
      </c>
      <c r="G98" s="395">
        <f t="shared" si="9"/>
        <v>0</v>
      </c>
      <c r="H98" s="397">
        <f t="shared" si="12"/>
        <v>0</v>
      </c>
      <c r="I98" s="294"/>
      <c r="J98" s="294"/>
    </row>
    <row r="99" spans="1:10" ht="12.75" customHeight="1" x14ac:dyDescent="0.2">
      <c r="A99" s="766"/>
      <c r="B99" s="297">
        <v>53208100100001</v>
      </c>
      <c r="C99" s="375" t="s">
        <v>178</v>
      </c>
      <c r="D99" s="395">
        <f t="shared" si="11"/>
        <v>0</v>
      </c>
      <c r="E99" s="395">
        <v>0</v>
      </c>
      <c r="F99" s="422">
        <v>0</v>
      </c>
      <c r="G99" s="395">
        <f t="shared" si="9"/>
        <v>0</v>
      </c>
      <c r="H99" s="397">
        <f t="shared" si="12"/>
        <v>0</v>
      </c>
      <c r="I99" s="294"/>
      <c r="J99" s="294"/>
    </row>
    <row r="100" spans="1:10" ht="12.75" customHeight="1" x14ac:dyDescent="0.2">
      <c r="A100" s="766"/>
      <c r="B100" s="297">
        <v>53211030000000</v>
      </c>
      <c r="C100" s="375" t="s">
        <v>32</v>
      </c>
      <c r="D100" s="395">
        <f t="shared" si="11"/>
        <v>0</v>
      </c>
      <c r="E100" s="395">
        <v>0</v>
      </c>
      <c r="F100" s="422">
        <v>0</v>
      </c>
      <c r="G100" s="395">
        <f t="shared" si="9"/>
        <v>0</v>
      </c>
      <c r="H100" s="397">
        <f t="shared" si="12"/>
        <v>0</v>
      </c>
      <c r="I100" s="294"/>
      <c r="J100" s="294"/>
    </row>
    <row r="101" spans="1:10" ht="12.75" customHeight="1" x14ac:dyDescent="0.2">
      <c r="A101" s="766"/>
      <c r="B101" s="297">
        <v>53212020100000</v>
      </c>
      <c r="C101" s="375" t="s">
        <v>179</v>
      </c>
      <c r="D101" s="395">
        <f t="shared" si="11"/>
        <v>347660</v>
      </c>
      <c r="E101" s="395">
        <v>0</v>
      </c>
      <c r="F101" s="422">
        <v>0</v>
      </c>
      <c r="G101" s="395">
        <f t="shared" si="9"/>
        <v>0</v>
      </c>
      <c r="H101" s="397">
        <f t="shared" si="12"/>
        <v>347660</v>
      </c>
      <c r="I101" s="294"/>
      <c r="J101" s="294"/>
    </row>
    <row r="102" spans="1:10" ht="12.75" customHeight="1" x14ac:dyDescent="0.2">
      <c r="A102" s="766"/>
      <c r="B102" s="297">
        <v>53214020000000</v>
      </c>
      <c r="C102" s="375" t="s">
        <v>180</v>
      </c>
      <c r="D102" s="395">
        <f t="shared" si="11"/>
        <v>0</v>
      </c>
      <c r="E102" s="395">
        <v>0</v>
      </c>
      <c r="F102" s="422">
        <v>0</v>
      </c>
      <c r="G102" s="395">
        <f t="shared" si="9"/>
        <v>0</v>
      </c>
      <c r="H102" s="397">
        <f t="shared" si="12"/>
        <v>0</v>
      </c>
      <c r="I102" s="294"/>
      <c r="J102" s="294"/>
    </row>
    <row r="103" spans="1:10" ht="15.75" customHeight="1" x14ac:dyDescent="0.2">
      <c r="A103" s="766"/>
      <c r="B103" s="311"/>
      <c r="C103" s="378" t="s">
        <v>34</v>
      </c>
      <c r="D103" s="300">
        <f>+D104+D109+D111+D120+D129+D137</f>
        <v>1230473</v>
      </c>
      <c r="E103" s="404"/>
      <c r="F103" s="404"/>
      <c r="G103" s="300">
        <f>+G104+G109+G111+G120+G129+G137</f>
        <v>214700</v>
      </c>
      <c r="H103" s="300">
        <f>+H104+H109+H111+H120+H129+H137</f>
        <v>1445173</v>
      </c>
      <c r="I103" s="294"/>
      <c r="J103" s="294"/>
    </row>
    <row r="104" spans="1:10" ht="12.75" customHeight="1" x14ac:dyDescent="0.2">
      <c r="A104" s="766"/>
      <c r="B104" s="295"/>
      <c r="C104" s="381" t="s">
        <v>35</v>
      </c>
      <c r="D104" s="391">
        <f>SUM(D105:D108)</f>
        <v>40786</v>
      </c>
      <c r="E104" s="392"/>
      <c r="F104" s="392"/>
      <c r="G104" s="391">
        <f>SUM(G105:G108)</f>
        <v>120200</v>
      </c>
      <c r="H104" s="391">
        <f>SUM(H105:H108)</f>
        <v>160986</v>
      </c>
      <c r="I104" s="294"/>
      <c r="J104" s="294"/>
    </row>
    <row r="105" spans="1:10" ht="12.75" customHeight="1" x14ac:dyDescent="0.2">
      <c r="A105" s="766"/>
      <c r="B105" s="297">
        <v>53202020100000</v>
      </c>
      <c r="C105" s="375" t="s">
        <v>181</v>
      </c>
      <c r="D105" s="398"/>
      <c r="E105" s="399">
        <v>28620</v>
      </c>
      <c r="F105" s="493">
        <v>3</v>
      </c>
      <c r="G105" s="395">
        <f>E105*F105</f>
        <v>85860</v>
      </c>
      <c r="H105" s="397">
        <f t="shared" ref="H105:H108" si="13">D105+G105</f>
        <v>85860</v>
      </c>
      <c r="I105" s="294"/>
      <c r="J105" s="294"/>
    </row>
    <row r="106" spans="1:10" ht="12.75" customHeight="1" x14ac:dyDescent="0.2">
      <c r="A106" s="766"/>
      <c r="B106" s="297">
        <v>53202030000000</v>
      </c>
      <c r="C106" s="375" t="s">
        <v>182</v>
      </c>
      <c r="D106" s="398">
        <v>0</v>
      </c>
      <c r="E106" s="399">
        <v>34340</v>
      </c>
      <c r="F106" s="493">
        <v>1</v>
      </c>
      <c r="G106" s="395">
        <f t="shared" ref="G106:G108" si="14">E106*F106</f>
        <v>34340</v>
      </c>
      <c r="H106" s="397">
        <f t="shared" si="13"/>
        <v>34340</v>
      </c>
      <c r="I106" s="294"/>
      <c r="J106" s="294"/>
    </row>
    <row r="107" spans="1:10" ht="12.75" customHeight="1" x14ac:dyDescent="0.2">
      <c r="A107" s="766"/>
      <c r="B107" s="297">
        <v>53211020000000</v>
      </c>
      <c r="C107" s="375" t="s">
        <v>41</v>
      </c>
      <c r="D107" s="405">
        <f>O33</f>
        <v>0</v>
      </c>
      <c r="E107" s="405">
        <v>0</v>
      </c>
      <c r="F107" s="406">
        <v>0</v>
      </c>
      <c r="G107" s="395">
        <f t="shared" si="14"/>
        <v>0</v>
      </c>
      <c r="H107" s="397">
        <f t="shared" si="13"/>
        <v>0</v>
      </c>
      <c r="I107" s="294"/>
      <c r="J107" s="294"/>
    </row>
    <row r="108" spans="1:10" ht="12.75" customHeight="1" x14ac:dyDescent="0.2">
      <c r="A108" s="766"/>
      <c r="B108" s="297">
        <v>53101040600000</v>
      </c>
      <c r="C108" s="375" t="s">
        <v>183</v>
      </c>
      <c r="D108" s="405">
        <f>O34</f>
        <v>40786</v>
      </c>
      <c r="E108" s="405">
        <v>0</v>
      </c>
      <c r="F108" s="406">
        <v>0</v>
      </c>
      <c r="G108" s="395">
        <f t="shared" si="14"/>
        <v>0</v>
      </c>
      <c r="H108" s="397">
        <f t="shared" si="13"/>
        <v>40786</v>
      </c>
      <c r="I108" s="294"/>
      <c r="J108" s="294"/>
    </row>
    <row r="109" spans="1:10" ht="12.75" customHeight="1" x14ac:dyDescent="0.2">
      <c r="A109" s="766"/>
      <c r="B109" s="295"/>
      <c r="C109" s="381" t="s">
        <v>42</v>
      </c>
      <c r="D109" s="391">
        <f>SUM(D110:D110)</f>
        <v>0</v>
      </c>
      <c r="E109" s="392"/>
      <c r="F109" s="392"/>
      <c r="G109" s="407">
        <f>SUM(G110:G110)</f>
        <v>0</v>
      </c>
      <c r="H109" s="408">
        <f>SUM(H110:H110)</f>
        <v>0</v>
      </c>
      <c r="I109" s="294"/>
      <c r="J109" s="294"/>
    </row>
    <row r="110" spans="1:10" ht="12.75" customHeight="1" x14ac:dyDescent="0.2">
      <c r="A110" s="766"/>
      <c r="B110" s="301">
        <v>53205990000000</v>
      </c>
      <c r="C110" s="375" t="s">
        <v>44</v>
      </c>
      <c r="D110" s="405">
        <f>+O36</f>
        <v>0</v>
      </c>
      <c r="E110" s="405">
        <v>0</v>
      </c>
      <c r="F110" s="406">
        <v>0</v>
      </c>
      <c r="G110" s="395">
        <f t="shared" ref="G110" si="15">E110*F110</f>
        <v>0</v>
      </c>
      <c r="H110" s="397">
        <f t="shared" ref="H110" si="16">D110+G110</f>
        <v>0</v>
      </c>
      <c r="I110" s="294"/>
      <c r="J110" s="294"/>
    </row>
    <row r="111" spans="1:10" ht="12.75" customHeight="1" x14ac:dyDescent="0.2">
      <c r="A111" s="766"/>
      <c r="B111" s="295"/>
      <c r="C111" s="381" t="s">
        <v>45</v>
      </c>
      <c r="D111" s="391">
        <f>SUM(D112:D119)</f>
        <v>452248</v>
      </c>
      <c r="E111" s="392"/>
      <c r="F111" s="392"/>
      <c r="G111" s="391">
        <f>SUM(G112:G119)</f>
        <v>0</v>
      </c>
      <c r="H111" s="296">
        <f>SUM(H112:H119)</f>
        <v>452248</v>
      </c>
      <c r="I111" s="294"/>
      <c r="J111" s="294"/>
    </row>
    <row r="112" spans="1:10" ht="12.75" customHeight="1" x14ac:dyDescent="0.2">
      <c r="A112" s="766"/>
      <c r="B112" s="297">
        <v>53204010000000</v>
      </c>
      <c r="C112" s="375" t="s">
        <v>47</v>
      </c>
      <c r="D112" s="405">
        <f>+O38</f>
        <v>239000</v>
      </c>
      <c r="E112" s="405">
        <v>0</v>
      </c>
      <c r="F112" s="406">
        <v>0</v>
      </c>
      <c r="G112" s="405">
        <f t="shared" ref="G112:G119" si="17">E112*F112</f>
        <v>0</v>
      </c>
      <c r="H112" s="397">
        <f t="shared" ref="H112:H119" si="18">D112+G112</f>
        <v>239000</v>
      </c>
      <c r="I112" s="294"/>
      <c r="J112" s="294"/>
    </row>
    <row r="113" spans="1:10" ht="12.75" customHeight="1" x14ac:dyDescent="0.2">
      <c r="A113" s="766"/>
      <c r="B113" s="301">
        <v>53204040200000</v>
      </c>
      <c r="C113" s="375" t="s">
        <v>211</v>
      </c>
      <c r="D113" s="405">
        <f t="shared" ref="D113:D119" si="19">+O39</f>
        <v>30000</v>
      </c>
      <c r="E113" s="405">
        <v>0</v>
      </c>
      <c r="F113" s="406">
        <v>0</v>
      </c>
      <c r="G113" s="405">
        <f t="shared" si="17"/>
        <v>0</v>
      </c>
      <c r="H113" s="397">
        <f t="shared" si="18"/>
        <v>30000</v>
      </c>
      <c r="I113" s="294"/>
      <c r="J113" s="294"/>
    </row>
    <row r="114" spans="1:10" ht="12.75" customHeight="1" x14ac:dyDescent="0.2">
      <c r="A114" s="766"/>
      <c r="B114" s="297">
        <v>53204060000000</v>
      </c>
      <c r="C114" s="375" t="s">
        <v>49</v>
      </c>
      <c r="D114" s="405">
        <f t="shared" si="19"/>
        <v>20000</v>
      </c>
      <c r="E114" s="405">
        <v>0</v>
      </c>
      <c r="F114" s="406">
        <v>0</v>
      </c>
      <c r="G114" s="405">
        <f t="shared" si="17"/>
        <v>0</v>
      </c>
      <c r="H114" s="397">
        <f t="shared" si="18"/>
        <v>20000</v>
      </c>
      <c r="I114" s="294"/>
      <c r="J114" s="294"/>
    </row>
    <row r="115" spans="1:10" ht="12.75" customHeight="1" x14ac:dyDescent="0.2">
      <c r="A115" s="766"/>
      <c r="B115" s="297">
        <v>53204070000000</v>
      </c>
      <c r="C115" s="375" t="s">
        <v>50</v>
      </c>
      <c r="D115" s="405">
        <f t="shared" si="19"/>
        <v>0</v>
      </c>
      <c r="E115" s="405">
        <v>0</v>
      </c>
      <c r="F115" s="406">
        <v>0</v>
      </c>
      <c r="G115" s="405">
        <f t="shared" si="17"/>
        <v>0</v>
      </c>
      <c r="H115" s="397">
        <f t="shared" si="18"/>
        <v>0</v>
      </c>
      <c r="I115" s="294"/>
      <c r="J115" s="294"/>
    </row>
    <row r="116" spans="1:10" ht="12.75" customHeight="1" x14ac:dyDescent="0.2">
      <c r="A116" s="766"/>
      <c r="B116" s="297">
        <v>53204080000000</v>
      </c>
      <c r="C116" s="375" t="s">
        <v>51</v>
      </c>
      <c r="D116" s="405">
        <f t="shared" si="19"/>
        <v>0</v>
      </c>
      <c r="E116" s="405">
        <v>0</v>
      </c>
      <c r="F116" s="406">
        <v>0</v>
      </c>
      <c r="G116" s="405">
        <f t="shared" si="17"/>
        <v>0</v>
      </c>
      <c r="H116" s="397">
        <f t="shared" si="18"/>
        <v>0</v>
      </c>
      <c r="I116" s="294"/>
      <c r="J116" s="294"/>
    </row>
    <row r="117" spans="1:10" ht="12.75" customHeight="1" x14ac:dyDescent="0.2">
      <c r="A117" s="766"/>
      <c r="B117" s="297">
        <v>53214010000000</v>
      </c>
      <c r="C117" s="375" t="s">
        <v>52</v>
      </c>
      <c r="D117" s="405">
        <f t="shared" si="19"/>
        <v>60000</v>
      </c>
      <c r="E117" s="409">
        <v>0</v>
      </c>
      <c r="F117" s="406">
        <v>0</v>
      </c>
      <c r="G117" s="405">
        <f t="shared" si="17"/>
        <v>0</v>
      </c>
      <c r="H117" s="397">
        <f t="shared" si="18"/>
        <v>60000</v>
      </c>
      <c r="I117" s="294"/>
      <c r="J117" s="294"/>
    </row>
    <row r="118" spans="1:10" ht="12.75" customHeight="1" x14ac:dyDescent="0.2">
      <c r="A118" s="766"/>
      <c r="B118" s="297">
        <v>53214040000000</v>
      </c>
      <c r="C118" s="375" t="s">
        <v>184</v>
      </c>
      <c r="D118" s="405">
        <f t="shared" si="19"/>
        <v>0</v>
      </c>
      <c r="E118" s="409">
        <v>0</v>
      </c>
      <c r="F118" s="406">
        <v>0</v>
      </c>
      <c r="G118" s="405">
        <f t="shared" si="17"/>
        <v>0</v>
      </c>
      <c r="H118" s="397">
        <f t="shared" si="18"/>
        <v>0</v>
      </c>
      <c r="I118" s="294"/>
      <c r="J118" s="294"/>
    </row>
    <row r="119" spans="1:10" ht="12.75" customHeight="1" x14ac:dyDescent="0.2">
      <c r="A119" s="766"/>
      <c r="B119" s="316">
        <v>53204020100000</v>
      </c>
      <c r="C119" s="375" t="s">
        <v>176</v>
      </c>
      <c r="D119" s="405">
        <f t="shared" si="19"/>
        <v>103248</v>
      </c>
      <c r="E119" s="405">
        <v>0</v>
      </c>
      <c r="F119" s="406">
        <v>0</v>
      </c>
      <c r="G119" s="405">
        <f t="shared" si="17"/>
        <v>0</v>
      </c>
      <c r="H119" s="397">
        <f t="shared" si="18"/>
        <v>103248</v>
      </c>
      <c r="I119" s="294"/>
      <c r="J119" s="294"/>
    </row>
    <row r="120" spans="1:10" ht="12.75" customHeight="1" x14ac:dyDescent="0.2">
      <c r="A120" s="766"/>
      <c r="B120" s="295"/>
      <c r="C120" s="381" t="s">
        <v>55</v>
      </c>
      <c r="D120" s="391">
        <f>SUM(D121:D128)</f>
        <v>557439</v>
      </c>
      <c r="E120" s="392"/>
      <c r="F120" s="392"/>
      <c r="G120" s="391">
        <f>SUM(G121:G128)</f>
        <v>82000</v>
      </c>
      <c r="H120" s="296">
        <f>SUM(H121:H128)</f>
        <v>639439</v>
      </c>
      <c r="I120" s="294"/>
      <c r="J120" s="294"/>
    </row>
    <row r="121" spans="1:10" ht="12.75" customHeight="1" x14ac:dyDescent="0.2">
      <c r="A121" s="766"/>
      <c r="B121" s="297">
        <v>53207010000000</v>
      </c>
      <c r="C121" s="375" t="s">
        <v>56</v>
      </c>
      <c r="D121" s="405">
        <f>+O47</f>
        <v>0</v>
      </c>
      <c r="E121" s="405">
        <v>0</v>
      </c>
      <c r="F121" s="406">
        <v>0</v>
      </c>
      <c r="G121" s="405">
        <f t="shared" ref="G121:G128" si="20">E121*F121</f>
        <v>0</v>
      </c>
      <c r="H121" s="397">
        <f t="shared" ref="H121:H128" si="21">D121+G121</f>
        <v>0</v>
      </c>
      <c r="I121" s="294"/>
      <c r="J121" s="294"/>
    </row>
    <row r="122" spans="1:10" ht="12.75" customHeight="1" x14ac:dyDescent="0.2">
      <c r="A122" s="766"/>
      <c r="B122" s="297">
        <v>53207020000000</v>
      </c>
      <c r="C122" s="375" t="s">
        <v>57</v>
      </c>
      <c r="D122" s="405">
        <f t="shared" ref="D122:D124" si="22">+O48</f>
        <v>0</v>
      </c>
      <c r="E122" s="405">
        <v>0</v>
      </c>
      <c r="F122" s="406">
        <v>0</v>
      </c>
      <c r="G122" s="405">
        <f t="shared" si="20"/>
        <v>0</v>
      </c>
      <c r="H122" s="397">
        <f t="shared" si="21"/>
        <v>0</v>
      </c>
      <c r="I122" s="294"/>
      <c r="J122" s="294"/>
    </row>
    <row r="123" spans="1:10" ht="12.75" customHeight="1" x14ac:dyDescent="0.2">
      <c r="A123" s="766"/>
      <c r="B123" s="297">
        <v>53208020000000</v>
      </c>
      <c r="C123" s="375" t="s">
        <v>167</v>
      </c>
      <c r="D123" s="405">
        <f t="shared" si="22"/>
        <v>0</v>
      </c>
      <c r="E123" s="405">
        <v>0</v>
      </c>
      <c r="F123" s="406">
        <v>0</v>
      </c>
      <c r="G123" s="405">
        <f t="shared" si="20"/>
        <v>0</v>
      </c>
      <c r="H123" s="397">
        <f t="shared" si="21"/>
        <v>0</v>
      </c>
      <c r="I123" s="294"/>
      <c r="J123" s="294"/>
    </row>
    <row r="124" spans="1:10" ht="12.75" customHeight="1" x14ac:dyDescent="0.2">
      <c r="A124" s="766"/>
      <c r="B124" s="297">
        <v>53208990000000</v>
      </c>
      <c r="C124" s="375" t="s">
        <v>185</v>
      </c>
      <c r="D124" s="405">
        <f t="shared" si="22"/>
        <v>86040</v>
      </c>
      <c r="E124" s="405">
        <v>0</v>
      </c>
      <c r="F124" s="406">
        <v>0</v>
      </c>
      <c r="G124" s="405">
        <f t="shared" si="20"/>
        <v>0</v>
      </c>
      <c r="H124" s="397">
        <f t="shared" si="21"/>
        <v>86040</v>
      </c>
      <c r="I124" s="294"/>
      <c r="J124" s="294"/>
    </row>
    <row r="125" spans="1:10" ht="12.75" customHeight="1" x14ac:dyDescent="0.2">
      <c r="A125" s="766"/>
      <c r="B125" s="316">
        <v>53210020300000</v>
      </c>
      <c r="C125" s="375" t="s">
        <v>187</v>
      </c>
      <c r="D125" s="660">
        <v>0</v>
      </c>
      <c r="E125" s="660">
        <v>8200</v>
      </c>
      <c r="F125" s="671">
        <f>+'B) Reajuste Tarifas y Ocupación'!I28</f>
        <v>10</v>
      </c>
      <c r="G125" s="395">
        <f t="shared" si="20"/>
        <v>82000</v>
      </c>
      <c r="H125" s="397">
        <f t="shared" si="21"/>
        <v>82000</v>
      </c>
      <c r="I125" s="294"/>
      <c r="J125" s="294"/>
    </row>
    <row r="126" spans="1:10" ht="12.75" customHeight="1" x14ac:dyDescent="0.2">
      <c r="A126" s="766"/>
      <c r="B126" s="297">
        <v>53208990000000</v>
      </c>
      <c r="C126" s="375" t="s">
        <v>188</v>
      </c>
      <c r="D126" s="395">
        <f>+O51</f>
        <v>0</v>
      </c>
      <c r="E126" s="395">
        <v>0</v>
      </c>
      <c r="F126" s="403">
        <v>0</v>
      </c>
      <c r="G126" s="395">
        <f t="shared" si="20"/>
        <v>0</v>
      </c>
      <c r="H126" s="397">
        <f t="shared" si="21"/>
        <v>0</v>
      </c>
      <c r="I126" s="294"/>
      <c r="J126" s="294"/>
    </row>
    <row r="127" spans="1:10" ht="12.75" customHeight="1" x14ac:dyDescent="0.2">
      <c r="A127" s="766"/>
      <c r="B127" s="297">
        <v>53209990000000</v>
      </c>
      <c r="C127" s="375" t="s">
        <v>186</v>
      </c>
      <c r="D127" s="395">
        <f t="shared" ref="D127:D128" si="23">+O52</f>
        <v>34340</v>
      </c>
      <c r="E127" s="395">
        <v>0</v>
      </c>
      <c r="F127" s="403">
        <v>0</v>
      </c>
      <c r="G127" s="395">
        <f t="shared" si="20"/>
        <v>0</v>
      </c>
      <c r="H127" s="397">
        <f t="shared" si="21"/>
        <v>34340</v>
      </c>
      <c r="I127" s="294"/>
      <c r="J127" s="294"/>
    </row>
    <row r="128" spans="1:10" ht="12.75" customHeight="1" x14ac:dyDescent="0.2">
      <c r="A128" s="766"/>
      <c r="B128" s="297">
        <v>53210020100000</v>
      </c>
      <c r="C128" s="375" t="s">
        <v>64</v>
      </c>
      <c r="D128" s="395">
        <f t="shared" si="23"/>
        <v>437059</v>
      </c>
      <c r="E128" s="395">
        <v>0</v>
      </c>
      <c r="F128" s="403">
        <v>0</v>
      </c>
      <c r="G128" s="395">
        <f t="shared" si="20"/>
        <v>0</v>
      </c>
      <c r="H128" s="397">
        <f t="shared" si="21"/>
        <v>437059</v>
      </c>
      <c r="I128" s="294"/>
      <c r="J128" s="294"/>
    </row>
    <row r="129" spans="1:10" ht="12.75" customHeight="1" x14ac:dyDescent="0.2">
      <c r="A129" s="766"/>
      <c r="B129" s="295"/>
      <c r="C129" s="381" t="s">
        <v>65</v>
      </c>
      <c r="D129" s="391">
        <f>SUM(D130:D136)</f>
        <v>180000</v>
      </c>
      <c r="E129" s="392"/>
      <c r="F129" s="392"/>
      <c r="G129" s="391">
        <f>SUM(G130:G136)</f>
        <v>0</v>
      </c>
      <c r="H129" s="296">
        <f>SUM(H130:H136)</f>
        <v>180000</v>
      </c>
      <c r="I129" s="294"/>
      <c r="J129" s="294"/>
    </row>
    <row r="130" spans="1:10" ht="12.75" customHeight="1" x14ac:dyDescent="0.2">
      <c r="A130" s="766"/>
      <c r="B130" s="297">
        <v>53206030000000</v>
      </c>
      <c r="C130" s="375" t="s">
        <v>99</v>
      </c>
      <c r="D130" s="405">
        <f>+O55</f>
        <v>0</v>
      </c>
      <c r="E130" s="405">
        <v>0</v>
      </c>
      <c r="F130" s="406">
        <v>0</v>
      </c>
      <c r="G130" s="395">
        <f t="shared" ref="G130:G136" si="24">E130*F130</f>
        <v>0</v>
      </c>
      <c r="H130" s="397">
        <f t="shared" ref="H130:H135" si="25">D130+G130</f>
        <v>0</v>
      </c>
      <c r="I130" s="294"/>
      <c r="J130" s="294"/>
    </row>
    <row r="131" spans="1:10" ht="12.75" customHeight="1" x14ac:dyDescent="0.2">
      <c r="A131" s="766"/>
      <c r="B131" s="297">
        <v>53206040000000</v>
      </c>
      <c r="C131" s="375" t="s">
        <v>100</v>
      </c>
      <c r="D131" s="405">
        <f t="shared" ref="D131:D136" si="26">+O56</f>
        <v>0</v>
      </c>
      <c r="E131" s="405">
        <v>0</v>
      </c>
      <c r="F131" s="406">
        <v>0</v>
      </c>
      <c r="G131" s="395">
        <f t="shared" si="24"/>
        <v>0</v>
      </c>
      <c r="H131" s="397">
        <f t="shared" si="25"/>
        <v>0</v>
      </c>
      <c r="I131" s="294"/>
      <c r="J131" s="294"/>
    </row>
    <row r="132" spans="1:10" ht="12.75" customHeight="1" x14ac:dyDescent="0.2">
      <c r="A132" s="766"/>
      <c r="B132" s="297">
        <v>53206060000000</v>
      </c>
      <c r="C132" s="375" t="s">
        <v>189</v>
      </c>
      <c r="D132" s="405">
        <f t="shared" si="26"/>
        <v>80000</v>
      </c>
      <c r="E132" s="405">
        <v>0</v>
      </c>
      <c r="F132" s="406">
        <v>0</v>
      </c>
      <c r="G132" s="395">
        <f t="shared" si="24"/>
        <v>0</v>
      </c>
      <c r="H132" s="397">
        <f t="shared" si="25"/>
        <v>80000</v>
      </c>
      <c r="I132" s="294"/>
      <c r="J132" s="294"/>
    </row>
    <row r="133" spans="1:10" ht="12.75" customHeight="1" x14ac:dyDescent="0.2">
      <c r="A133" s="766"/>
      <c r="B133" s="297">
        <v>53206070000000</v>
      </c>
      <c r="C133" s="375" t="s">
        <v>102</v>
      </c>
      <c r="D133" s="405">
        <f t="shared" si="26"/>
        <v>0</v>
      </c>
      <c r="E133" s="405">
        <v>0</v>
      </c>
      <c r="F133" s="406">
        <v>0</v>
      </c>
      <c r="G133" s="395">
        <f t="shared" si="24"/>
        <v>0</v>
      </c>
      <c r="H133" s="397">
        <f t="shared" si="25"/>
        <v>0</v>
      </c>
      <c r="I133" s="294"/>
      <c r="J133" s="294"/>
    </row>
    <row r="134" spans="1:10" ht="12.75" customHeight="1" x14ac:dyDescent="0.2">
      <c r="A134" s="766"/>
      <c r="B134" s="297">
        <v>53206990000000</v>
      </c>
      <c r="C134" s="375" t="s">
        <v>190</v>
      </c>
      <c r="D134" s="405">
        <f t="shared" si="26"/>
        <v>0</v>
      </c>
      <c r="E134" s="405">
        <v>0</v>
      </c>
      <c r="F134" s="406">
        <v>0</v>
      </c>
      <c r="G134" s="395">
        <f t="shared" si="24"/>
        <v>0</v>
      </c>
      <c r="H134" s="397">
        <f t="shared" si="25"/>
        <v>0</v>
      </c>
      <c r="I134" s="294"/>
      <c r="J134" s="294"/>
    </row>
    <row r="135" spans="1:10" ht="12.75" customHeight="1" x14ac:dyDescent="0.2">
      <c r="A135" s="766"/>
      <c r="B135" s="297">
        <v>53208030000000</v>
      </c>
      <c r="C135" s="375" t="s">
        <v>104</v>
      </c>
      <c r="D135" s="405">
        <f t="shared" si="26"/>
        <v>100000</v>
      </c>
      <c r="E135" s="405">
        <v>0</v>
      </c>
      <c r="F135" s="406">
        <v>0</v>
      </c>
      <c r="G135" s="395">
        <f t="shared" si="24"/>
        <v>0</v>
      </c>
      <c r="H135" s="397">
        <f t="shared" si="25"/>
        <v>100000</v>
      </c>
      <c r="I135" s="294"/>
      <c r="J135" s="294"/>
    </row>
    <row r="136" spans="1:10" ht="12.75" customHeight="1" x14ac:dyDescent="0.2">
      <c r="A136" s="766"/>
      <c r="B136" s="297">
        <v>53206990000000</v>
      </c>
      <c r="C136" s="375" t="s">
        <v>212</v>
      </c>
      <c r="D136" s="405">
        <f t="shared" si="26"/>
        <v>0</v>
      </c>
      <c r="E136" s="405">
        <v>0</v>
      </c>
      <c r="F136" s="406">
        <v>0</v>
      </c>
      <c r="G136" s="395">
        <f t="shared" si="24"/>
        <v>0</v>
      </c>
      <c r="H136" s="397">
        <f>D136+G136</f>
        <v>0</v>
      </c>
      <c r="I136" s="294"/>
      <c r="J136" s="294"/>
    </row>
    <row r="137" spans="1:10" ht="12.75" customHeight="1" x14ac:dyDescent="0.2">
      <c r="A137" s="766"/>
      <c r="B137" s="295"/>
      <c r="C137" s="381" t="s">
        <v>66</v>
      </c>
      <c r="D137" s="391">
        <f>SUM(D138:D138)</f>
        <v>0</v>
      </c>
      <c r="E137" s="392"/>
      <c r="F137" s="392"/>
      <c r="G137" s="391">
        <f>SUM(G138:G138)</f>
        <v>12500</v>
      </c>
      <c r="H137" s="296">
        <f>SUM(H138:H138)</f>
        <v>12500</v>
      </c>
      <c r="I137" s="294"/>
      <c r="J137" s="294"/>
    </row>
    <row r="138" spans="1:10" ht="12.75" customHeight="1" x14ac:dyDescent="0.2">
      <c r="A138" s="766"/>
      <c r="B138" s="410"/>
      <c r="C138" s="411" t="s">
        <v>213</v>
      </c>
      <c r="D138" s="398">
        <v>0</v>
      </c>
      <c r="E138" s="398">
        <v>1250</v>
      </c>
      <c r="F138" s="493">
        <v>10</v>
      </c>
      <c r="G138" s="395">
        <f t="shared" ref="G138" si="27">E138*F138</f>
        <v>12500</v>
      </c>
      <c r="H138" s="412">
        <f t="shared" ref="H138" si="28">D138+G138</f>
        <v>12500</v>
      </c>
      <c r="I138" s="413" t="s">
        <v>214</v>
      </c>
      <c r="J138" s="414">
        <f>+H136+H135+H134+H133+H132+H131+H130+H128+H127+H126+H125+H124+H123+H122+H121+H119+H116+H115+H114+H113+H112+H110+H108+H107+H101+H100+H99+H97+H96+H95+H94+H93+H92+H91+H90+H89+H88+H87</f>
        <v>2796879</v>
      </c>
    </row>
    <row r="139" spans="1:10" ht="12.75" customHeight="1" collapsed="1" thickBot="1" x14ac:dyDescent="0.25">
      <c r="A139" s="767"/>
      <c r="B139" s="415"/>
      <c r="C139" s="416" t="s">
        <v>105</v>
      </c>
      <c r="D139" s="417">
        <f>SUM(D76,D103)</f>
        <v>29491884.079999998</v>
      </c>
      <c r="E139" s="418"/>
      <c r="F139" s="418"/>
      <c r="G139" s="417">
        <f>SUM(G76,G103)</f>
        <v>4559000</v>
      </c>
      <c r="H139" s="419">
        <f>SUM(H76,H103)</f>
        <v>34050884.079999998</v>
      </c>
      <c r="I139" s="420" t="s">
        <v>215</v>
      </c>
      <c r="J139" s="421">
        <f>+H139-J138</f>
        <v>31254005.079999998</v>
      </c>
    </row>
    <row r="140" spans="1:10" ht="31.5" customHeight="1" x14ac:dyDescent="0.2">
      <c r="A140" s="829" t="s">
        <v>225</v>
      </c>
      <c r="B140" s="423"/>
      <c r="C140" s="424" t="s">
        <v>11</v>
      </c>
      <c r="D140" s="425">
        <f>SUM(D141,D146)</f>
        <v>0</v>
      </c>
      <c r="E140" s="426"/>
      <c r="F140" s="426"/>
      <c r="G140" s="427">
        <f>SUM(G141,G146)</f>
        <v>0</v>
      </c>
      <c r="H140" s="428">
        <f>SUM(H141,H146)</f>
        <v>0</v>
      </c>
      <c r="I140" s="429"/>
      <c r="J140" s="429"/>
    </row>
    <row r="141" spans="1:10" ht="15.75" customHeight="1" x14ac:dyDescent="0.2">
      <c r="A141" s="830"/>
      <c r="B141" s="430"/>
      <c r="C141" s="431" t="s">
        <v>12</v>
      </c>
      <c r="D141" s="432">
        <f>SUM(D142:D145)</f>
        <v>0</v>
      </c>
      <c r="E141" s="433"/>
      <c r="F141" s="433"/>
      <c r="G141" s="434">
        <f>SUM(G142:G145)</f>
        <v>0</v>
      </c>
      <c r="H141" s="435">
        <f>SUM(H142:H145)</f>
        <v>0</v>
      </c>
      <c r="I141" s="429"/>
      <c r="J141" s="429"/>
    </row>
    <row r="142" spans="1:10" ht="15.75" customHeight="1" x14ac:dyDescent="0.2">
      <c r="A142" s="830"/>
      <c r="B142" s="436">
        <v>53103040100000</v>
      </c>
      <c r="C142" s="437" t="s">
        <v>95</v>
      </c>
      <c r="D142" s="438">
        <f>'F) Remuneraciones'!L31</f>
        <v>0</v>
      </c>
      <c r="E142" s="439">
        <v>0</v>
      </c>
      <c r="F142" s="440">
        <v>0</v>
      </c>
      <c r="G142" s="441">
        <f>E142*F142</f>
        <v>0</v>
      </c>
      <c r="H142" s="442">
        <f>D142+G142</f>
        <v>0</v>
      </c>
      <c r="I142" s="429"/>
      <c r="J142" s="429"/>
    </row>
    <row r="143" spans="1:10" ht="15.75" customHeight="1" x14ac:dyDescent="0.2">
      <c r="A143" s="830"/>
      <c r="B143" s="436">
        <v>53103050000000</v>
      </c>
      <c r="C143" s="437" t="s">
        <v>168</v>
      </c>
      <c r="D143" s="443">
        <v>0</v>
      </c>
      <c r="E143" s="444">
        <v>0</v>
      </c>
      <c r="F143" s="445">
        <v>0</v>
      </c>
      <c r="G143" s="441">
        <f>E143*F143</f>
        <v>0</v>
      </c>
      <c r="H143" s="442">
        <f>D143+G143</f>
        <v>0</v>
      </c>
      <c r="I143" s="429"/>
      <c r="J143" s="429"/>
    </row>
    <row r="144" spans="1:10" ht="15.75" customHeight="1" x14ac:dyDescent="0.2">
      <c r="A144" s="830"/>
      <c r="B144" s="446">
        <v>53103040400000</v>
      </c>
      <c r="C144" s="447" t="s">
        <v>169</v>
      </c>
      <c r="D144" s="443">
        <v>0</v>
      </c>
      <c r="E144" s="444">
        <v>0</v>
      </c>
      <c r="F144" s="445">
        <v>0</v>
      </c>
      <c r="G144" s="441">
        <f>E144*F144</f>
        <v>0</v>
      </c>
      <c r="H144" s="442">
        <f>D144+G144</f>
        <v>0</v>
      </c>
      <c r="I144" s="429"/>
      <c r="J144" s="429"/>
    </row>
    <row r="145" spans="1:10" ht="15.75" customHeight="1" x14ac:dyDescent="0.2">
      <c r="A145" s="830"/>
      <c r="B145" s="436">
        <v>53103080010000</v>
      </c>
      <c r="C145" s="437" t="s">
        <v>170</v>
      </c>
      <c r="D145" s="443">
        <v>0</v>
      </c>
      <c r="E145" s="444">
        <v>0</v>
      </c>
      <c r="F145" s="445">
        <v>0</v>
      </c>
      <c r="G145" s="441">
        <f>E145*F145</f>
        <v>0</v>
      </c>
      <c r="H145" s="442">
        <f>D145+G145</f>
        <v>0</v>
      </c>
      <c r="I145" s="429"/>
      <c r="J145" s="429"/>
    </row>
    <row r="146" spans="1:10" ht="15.75" customHeight="1" x14ac:dyDescent="0.2">
      <c r="A146" s="830"/>
      <c r="B146" s="430"/>
      <c r="C146" s="431" t="s">
        <v>16</v>
      </c>
      <c r="D146" s="432">
        <f>SUM(D147:D166)</f>
        <v>0</v>
      </c>
      <c r="E146" s="433"/>
      <c r="F146" s="433"/>
      <c r="G146" s="432">
        <f>SUM(G147:G166)</f>
        <v>0</v>
      </c>
      <c r="H146" s="435">
        <f>SUM(H147:H166)</f>
        <v>0</v>
      </c>
      <c r="I146" s="429"/>
      <c r="J146" s="429"/>
    </row>
    <row r="147" spans="1:10" ht="15.75" customHeight="1" x14ac:dyDescent="0.2">
      <c r="A147" s="830"/>
      <c r="B147" s="436">
        <v>53201010100000</v>
      </c>
      <c r="C147" s="448" t="s">
        <v>171</v>
      </c>
      <c r="D147" s="443">
        <v>0</v>
      </c>
      <c r="E147" s="444">
        <v>0</v>
      </c>
      <c r="F147" s="445">
        <v>0</v>
      </c>
      <c r="G147" s="441">
        <f t="shared" ref="G147:G166" si="29">E147*F147</f>
        <v>0</v>
      </c>
      <c r="H147" s="442">
        <f t="shared" ref="H147:H166" si="30">D147+G147</f>
        <v>0</v>
      </c>
      <c r="I147" s="429"/>
      <c r="J147" s="429"/>
    </row>
    <row r="148" spans="1:10" ht="15.75" customHeight="1" x14ac:dyDescent="0.2">
      <c r="A148" s="830"/>
      <c r="B148" s="436">
        <v>53201010100000</v>
      </c>
      <c r="C148" s="448" t="s">
        <v>172</v>
      </c>
      <c r="D148" s="443">
        <v>0</v>
      </c>
      <c r="E148" s="444">
        <v>0</v>
      </c>
      <c r="F148" s="445">
        <v>0</v>
      </c>
      <c r="G148" s="441">
        <f t="shared" si="29"/>
        <v>0</v>
      </c>
      <c r="H148" s="442">
        <f t="shared" si="30"/>
        <v>0</v>
      </c>
      <c r="I148" s="429"/>
      <c r="J148" s="429"/>
    </row>
    <row r="149" spans="1:10" ht="15.75" customHeight="1" x14ac:dyDescent="0.2">
      <c r="A149" s="830"/>
      <c r="B149" s="436">
        <v>53201010100000</v>
      </c>
      <c r="C149" s="448" t="s">
        <v>173</v>
      </c>
      <c r="D149" s="443">
        <v>0</v>
      </c>
      <c r="E149" s="444">
        <v>0</v>
      </c>
      <c r="F149" s="445">
        <v>0</v>
      </c>
      <c r="G149" s="441">
        <f t="shared" si="29"/>
        <v>0</v>
      </c>
      <c r="H149" s="442">
        <f t="shared" si="30"/>
        <v>0</v>
      </c>
      <c r="I149" s="429"/>
      <c r="J149" s="429"/>
    </row>
    <row r="150" spans="1:10" ht="15.75" customHeight="1" x14ac:dyDescent="0.2">
      <c r="A150" s="830"/>
      <c r="B150" s="436">
        <v>53202010100000</v>
      </c>
      <c r="C150" s="437" t="s">
        <v>174</v>
      </c>
      <c r="D150" s="443">
        <v>0</v>
      </c>
      <c r="E150" s="444">
        <v>0</v>
      </c>
      <c r="F150" s="445">
        <v>0</v>
      </c>
      <c r="G150" s="441">
        <f t="shared" si="29"/>
        <v>0</v>
      </c>
      <c r="H150" s="442">
        <f t="shared" si="30"/>
        <v>0</v>
      </c>
      <c r="I150" s="429"/>
      <c r="J150" s="429"/>
    </row>
    <row r="151" spans="1:10" ht="15.75" customHeight="1" x14ac:dyDescent="0.2">
      <c r="A151" s="830"/>
      <c r="B151" s="436">
        <v>53203010100000</v>
      </c>
      <c r="C151" s="437" t="s">
        <v>19</v>
      </c>
      <c r="D151" s="449">
        <v>0</v>
      </c>
      <c r="E151" s="450">
        <v>0</v>
      </c>
      <c r="F151" s="451">
        <v>0</v>
      </c>
      <c r="G151" s="441">
        <f t="shared" si="29"/>
        <v>0</v>
      </c>
      <c r="H151" s="442">
        <f t="shared" si="30"/>
        <v>0</v>
      </c>
      <c r="I151" s="429"/>
      <c r="J151" s="429"/>
    </row>
    <row r="152" spans="1:10" ht="15.75" customHeight="1" x14ac:dyDescent="0.2">
      <c r="A152" s="830"/>
      <c r="B152" s="436">
        <v>53203030000000</v>
      </c>
      <c r="C152" s="437" t="s">
        <v>175</v>
      </c>
      <c r="D152" s="449">
        <v>0</v>
      </c>
      <c r="E152" s="450">
        <v>0</v>
      </c>
      <c r="F152" s="451">
        <v>0</v>
      </c>
      <c r="G152" s="441">
        <f t="shared" si="29"/>
        <v>0</v>
      </c>
      <c r="H152" s="442">
        <f t="shared" si="30"/>
        <v>0</v>
      </c>
      <c r="I152" s="429"/>
      <c r="J152" s="429"/>
    </row>
    <row r="153" spans="1:10" ht="15.75" customHeight="1" x14ac:dyDescent="0.2">
      <c r="A153" s="830"/>
      <c r="B153" s="436">
        <v>53204030000000</v>
      </c>
      <c r="C153" s="437" t="s">
        <v>210</v>
      </c>
      <c r="D153" s="449">
        <v>0</v>
      </c>
      <c r="E153" s="450">
        <v>0</v>
      </c>
      <c r="F153" s="451">
        <v>0</v>
      </c>
      <c r="G153" s="441">
        <f t="shared" si="29"/>
        <v>0</v>
      </c>
      <c r="H153" s="442">
        <f>D153+G153</f>
        <v>0</v>
      </c>
      <c r="I153" s="429"/>
      <c r="J153" s="429"/>
    </row>
    <row r="154" spans="1:10" ht="15.75" customHeight="1" x14ac:dyDescent="0.2">
      <c r="A154" s="830"/>
      <c r="B154" s="436">
        <v>53204100100001</v>
      </c>
      <c r="C154" s="437" t="s">
        <v>22</v>
      </c>
      <c r="D154" s="449">
        <v>0</v>
      </c>
      <c r="E154" s="450">
        <v>0</v>
      </c>
      <c r="F154" s="451">
        <v>0</v>
      </c>
      <c r="G154" s="441">
        <f t="shared" si="29"/>
        <v>0</v>
      </c>
      <c r="H154" s="442">
        <f t="shared" si="30"/>
        <v>0</v>
      </c>
      <c r="I154" s="429"/>
      <c r="J154" s="429"/>
    </row>
    <row r="155" spans="1:10" ht="15.75" customHeight="1" x14ac:dyDescent="0.2">
      <c r="A155" s="830"/>
      <c r="B155" s="436">
        <v>53204130100000</v>
      </c>
      <c r="C155" s="437" t="s">
        <v>177</v>
      </c>
      <c r="D155" s="449">
        <v>0</v>
      </c>
      <c r="E155" s="450">
        <v>0</v>
      </c>
      <c r="F155" s="451">
        <v>0</v>
      </c>
      <c r="G155" s="441">
        <f t="shared" si="29"/>
        <v>0</v>
      </c>
      <c r="H155" s="442">
        <f t="shared" si="30"/>
        <v>0</v>
      </c>
      <c r="I155" s="429"/>
      <c r="J155" s="429"/>
    </row>
    <row r="156" spans="1:10" ht="15.75" customHeight="1" x14ac:dyDescent="0.2">
      <c r="A156" s="830"/>
      <c r="B156" s="436">
        <v>53205010100000</v>
      </c>
      <c r="C156" s="437" t="s">
        <v>24</v>
      </c>
      <c r="D156" s="449">
        <v>0</v>
      </c>
      <c r="E156" s="450">
        <v>0</v>
      </c>
      <c r="F156" s="451">
        <v>0</v>
      </c>
      <c r="G156" s="441">
        <f t="shared" si="29"/>
        <v>0</v>
      </c>
      <c r="H156" s="442">
        <f t="shared" si="30"/>
        <v>0</v>
      </c>
      <c r="I156" s="429"/>
      <c r="J156" s="429"/>
    </row>
    <row r="157" spans="1:10" ht="15.75" customHeight="1" x14ac:dyDescent="0.2">
      <c r="A157" s="830"/>
      <c r="B157" s="436">
        <v>53205020100000</v>
      </c>
      <c r="C157" s="437" t="s">
        <v>25</v>
      </c>
      <c r="D157" s="449">
        <v>0</v>
      </c>
      <c r="E157" s="450">
        <v>0</v>
      </c>
      <c r="F157" s="451">
        <v>0</v>
      </c>
      <c r="G157" s="441">
        <f t="shared" si="29"/>
        <v>0</v>
      </c>
      <c r="H157" s="442">
        <f t="shared" si="30"/>
        <v>0</v>
      </c>
      <c r="I157" s="429"/>
      <c r="J157" s="429"/>
    </row>
    <row r="158" spans="1:10" ht="15.75" customHeight="1" x14ac:dyDescent="0.2">
      <c r="A158" s="830"/>
      <c r="B158" s="436">
        <v>53205030100000</v>
      </c>
      <c r="C158" s="437" t="s">
        <v>26</v>
      </c>
      <c r="D158" s="449">
        <v>0</v>
      </c>
      <c r="E158" s="450">
        <v>0</v>
      </c>
      <c r="F158" s="451">
        <v>0</v>
      </c>
      <c r="G158" s="441">
        <f t="shared" si="29"/>
        <v>0</v>
      </c>
      <c r="H158" s="442">
        <f t="shared" si="30"/>
        <v>0</v>
      </c>
      <c r="I158" s="429"/>
      <c r="J158" s="429"/>
    </row>
    <row r="159" spans="1:10" ht="15.75" customHeight="1" x14ac:dyDescent="0.2">
      <c r="A159" s="830"/>
      <c r="B159" s="436">
        <v>53205050100000</v>
      </c>
      <c r="C159" s="437" t="s">
        <v>27</v>
      </c>
      <c r="D159" s="449">
        <v>0</v>
      </c>
      <c r="E159" s="450">
        <v>0</v>
      </c>
      <c r="F159" s="451">
        <v>0</v>
      </c>
      <c r="G159" s="441">
        <f t="shared" si="29"/>
        <v>0</v>
      </c>
      <c r="H159" s="442">
        <f t="shared" si="30"/>
        <v>0</v>
      </c>
      <c r="I159" s="429"/>
      <c r="J159" s="429"/>
    </row>
    <row r="160" spans="1:10" ht="15.75" customHeight="1" x14ac:dyDescent="0.2">
      <c r="A160" s="830"/>
      <c r="B160" s="436">
        <v>53205070100000</v>
      </c>
      <c r="C160" s="437" t="s">
        <v>29</v>
      </c>
      <c r="D160" s="449">
        <v>0</v>
      </c>
      <c r="E160" s="450">
        <v>0</v>
      </c>
      <c r="F160" s="451">
        <v>0</v>
      </c>
      <c r="G160" s="441">
        <f t="shared" si="29"/>
        <v>0</v>
      </c>
      <c r="H160" s="442">
        <f t="shared" si="30"/>
        <v>0</v>
      </c>
      <c r="I160" s="429"/>
      <c r="J160" s="429"/>
    </row>
    <row r="161" spans="1:10" ht="15.75" customHeight="1" x14ac:dyDescent="0.2">
      <c r="A161" s="830"/>
      <c r="B161" s="436">
        <v>53208010100000</v>
      </c>
      <c r="C161" s="437" t="s">
        <v>30</v>
      </c>
      <c r="D161" s="449">
        <v>0</v>
      </c>
      <c r="E161" s="450">
        <v>0</v>
      </c>
      <c r="F161" s="451">
        <v>0</v>
      </c>
      <c r="G161" s="441">
        <f t="shared" si="29"/>
        <v>0</v>
      </c>
      <c r="H161" s="442">
        <f t="shared" si="30"/>
        <v>0</v>
      </c>
      <c r="I161" s="429"/>
      <c r="J161" s="429"/>
    </row>
    <row r="162" spans="1:10" ht="15.75" customHeight="1" x14ac:dyDescent="0.2">
      <c r="A162" s="830"/>
      <c r="B162" s="436">
        <v>53208070100001</v>
      </c>
      <c r="C162" s="437" t="s">
        <v>31</v>
      </c>
      <c r="D162" s="443">
        <v>0</v>
      </c>
      <c r="E162" s="444">
        <v>0</v>
      </c>
      <c r="F162" s="445">
        <v>0</v>
      </c>
      <c r="G162" s="441">
        <f t="shared" si="29"/>
        <v>0</v>
      </c>
      <c r="H162" s="442">
        <f t="shared" si="30"/>
        <v>0</v>
      </c>
      <c r="I162" s="429"/>
      <c r="J162" s="429"/>
    </row>
    <row r="163" spans="1:10" ht="15.75" customHeight="1" x14ac:dyDescent="0.2">
      <c r="A163" s="830"/>
      <c r="B163" s="436">
        <v>53208100100001</v>
      </c>
      <c r="C163" s="437" t="s">
        <v>178</v>
      </c>
      <c r="D163" s="449">
        <v>0</v>
      </c>
      <c r="E163" s="450">
        <v>0</v>
      </c>
      <c r="F163" s="451">
        <v>0</v>
      </c>
      <c r="G163" s="441">
        <f t="shared" si="29"/>
        <v>0</v>
      </c>
      <c r="H163" s="442">
        <f t="shared" si="30"/>
        <v>0</v>
      </c>
      <c r="I163" s="429"/>
      <c r="J163" s="429"/>
    </row>
    <row r="164" spans="1:10" ht="15.75" customHeight="1" x14ac:dyDescent="0.2">
      <c r="A164" s="830"/>
      <c r="B164" s="436">
        <v>53211030000000</v>
      </c>
      <c r="C164" s="437" t="s">
        <v>32</v>
      </c>
      <c r="D164" s="449">
        <v>0</v>
      </c>
      <c r="E164" s="450">
        <v>0</v>
      </c>
      <c r="F164" s="451">
        <v>0</v>
      </c>
      <c r="G164" s="441">
        <f t="shared" si="29"/>
        <v>0</v>
      </c>
      <c r="H164" s="442">
        <f t="shared" si="30"/>
        <v>0</v>
      </c>
      <c r="I164" s="429"/>
      <c r="J164" s="429"/>
    </row>
    <row r="165" spans="1:10" ht="15.75" customHeight="1" x14ac:dyDescent="0.2">
      <c r="A165" s="830"/>
      <c r="B165" s="436">
        <v>53212020100000</v>
      </c>
      <c r="C165" s="437" t="s">
        <v>179</v>
      </c>
      <c r="D165" s="449">
        <v>0</v>
      </c>
      <c r="E165" s="450">
        <v>0</v>
      </c>
      <c r="F165" s="451">
        <v>0</v>
      </c>
      <c r="G165" s="441">
        <f t="shared" si="29"/>
        <v>0</v>
      </c>
      <c r="H165" s="442">
        <f t="shared" si="30"/>
        <v>0</v>
      </c>
      <c r="I165" s="429"/>
      <c r="J165" s="429"/>
    </row>
    <row r="166" spans="1:10" ht="15.75" customHeight="1" x14ac:dyDescent="0.2">
      <c r="A166" s="830"/>
      <c r="B166" s="436">
        <v>53214020000000</v>
      </c>
      <c r="C166" s="437" t="s">
        <v>180</v>
      </c>
      <c r="D166" s="443">
        <v>0</v>
      </c>
      <c r="E166" s="444">
        <v>0</v>
      </c>
      <c r="F166" s="445">
        <v>0</v>
      </c>
      <c r="G166" s="441">
        <f t="shared" si="29"/>
        <v>0</v>
      </c>
      <c r="H166" s="442">
        <f t="shared" si="30"/>
        <v>0</v>
      </c>
      <c r="I166" s="429"/>
      <c r="J166" s="429"/>
    </row>
    <row r="167" spans="1:10" ht="15.75" customHeight="1" x14ac:dyDescent="0.2">
      <c r="A167" s="830"/>
      <c r="B167" s="423"/>
      <c r="C167" s="424" t="s">
        <v>34</v>
      </c>
      <c r="D167" s="425">
        <v>0</v>
      </c>
      <c r="E167" s="426"/>
      <c r="F167" s="426"/>
      <c r="G167" s="425">
        <f>SUM(G168,G173,G175,G184,G193,G201)</f>
        <v>0</v>
      </c>
      <c r="H167" s="452">
        <f>SUM(H168,H173,H175,H184,H193,H201)</f>
        <v>0</v>
      </c>
      <c r="I167" s="429"/>
      <c r="J167" s="429"/>
    </row>
    <row r="168" spans="1:10" ht="15.75" customHeight="1" x14ac:dyDescent="0.2">
      <c r="A168" s="830"/>
      <c r="B168" s="430"/>
      <c r="C168" s="431" t="s">
        <v>35</v>
      </c>
      <c r="D168" s="432">
        <f>SUM(D169:D172)</f>
        <v>0</v>
      </c>
      <c r="E168" s="433"/>
      <c r="F168" s="433"/>
      <c r="G168" s="453">
        <f>SUM(G169:G172)</f>
        <v>0</v>
      </c>
      <c r="H168" s="454">
        <f>SUM(H169:H172)</f>
        <v>0</v>
      </c>
      <c r="I168" s="429"/>
      <c r="J168" s="429"/>
    </row>
    <row r="169" spans="1:10" ht="15.75" customHeight="1" x14ac:dyDescent="0.2">
      <c r="A169" s="830"/>
      <c r="B169" s="436">
        <v>53202020100000</v>
      </c>
      <c r="C169" s="437" t="s">
        <v>181</v>
      </c>
      <c r="D169" s="443">
        <v>0</v>
      </c>
      <c r="E169" s="444">
        <v>0</v>
      </c>
      <c r="F169" s="445">
        <v>0</v>
      </c>
      <c r="G169" s="441">
        <f>E169*F169</f>
        <v>0</v>
      </c>
      <c r="H169" s="442">
        <f t="shared" ref="H169:H202" si="31">D169+G169</f>
        <v>0</v>
      </c>
      <c r="I169" s="429"/>
      <c r="J169" s="429"/>
    </row>
    <row r="170" spans="1:10" ht="15.75" customHeight="1" x14ac:dyDescent="0.2">
      <c r="A170" s="830"/>
      <c r="B170" s="436">
        <v>53202030000000</v>
      </c>
      <c r="C170" s="437" t="s">
        <v>182</v>
      </c>
      <c r="D170" s="443">
        <v>0</v>
      </c>
      <c r="E170" s="444">
        <v>0</v>
      </c>
      <c r="F170" s="445">
        <v>0</v>
      </c>
      <c r="G170" s="441">
        <f t="shared" ref="G170:G202" si="32">E170*F170</f>
        <v>0</v>
      </c>
      <c r="H170" s="442">
        <f t="shared" si="31"/>
        <v>0</v>
      </c>
      <c r="I170" s="429"/>
      <c r="J170" s="429"/>
    </row>
    <row r="171" spans="1:10" ht="15.75" customHeight="1" x14ac:dyDescent="0.2">
      <c r="A171" s="830"/>
      <c r="B171" s="436">
        <v>53211020000000</v>
      </c>
      <c r="C171" s="437" t="s">
        <v>41</v>
      </c>
      <c r="D171" s="450">
        <f>O111</f>
        <v>0</v>
      </c>
      <c r="E171" s="450">
        <v>0</v>
      </c>
      <c r="F171" s="450">
        <v>0</v>
      </c>
      <c r="G171" s="441">
        <f t="shared" si="32"/>
        <v>0</v>
      </c>
      <c r="H171" s="442">
        <f t="shared" si="31"/>
        <v>0</v>
      </c>
      <c r="I171" s="429"/>
      <c r="J171" s="429"/>
    </row>
    <row r="172" spans="1:10" ht="15.75" customHeight="1" x14ac:dyDescent="0.2">
      <c r="A172" s="830"/>
      <c r="B172" s="436">
        <v>53101040600000</v>
      </c>
      <c r="C172" s="437" t="s">
        <v>183</v>
      </c>
      <c r="D172" s="450">
        <f>O112</f>
        <v>0</v>
      </c>
      <c r="E172" s="450">
        <v>0</v>
      </c>
      <c r="F172" s="450">
        <v>0</v>
      </c>
      <c r="G172" s="441">
        <f t="shared" si="32"/>
        <v>0</v>
      </c>
      <c r="H172" s="442">
        <f t="shared" si="31"/>
        <v>0</v>
      </c>
      <c r="I172" s="429"/>
      <c r="J172" s="429"/>
    </row>
    <row r="173" spans="1:10" ht="15.75" customHeight="1" x14ac:dyDescent="0.2">
      <c r="A173" s="830"/>
      <c r="B173" s="430"/>
      <c r="C173" s="431" t="s">
        <v>42</v>
      </c>
      <c r="D173" s="432">
        <f>SUM(D174:D174)</f>
        <v>0</v>
      </c>
      <c r="E173" s="433"/>
      <c r="F173" s="433"/>
      <c r="G173" s="453">
        <f>SUM(G174:G174)</f>
        <v>0</v>
      </c>
      <c r="H173" s="454">
        <f>SUM(H174:H174)</f>
        <v>0</v>
      </c>
      <c r="I173" s="429"/>
      <c r="J173" s="429"/>
    </row>
    <row r="174" spans="1:10" ht="15.75" customHeight="1" x14ac:dyDescent="0.2">
      <c r="A174" s="830"/>
      <c r="B174" s="455">
        <v>53205990000000</v>
      </c>
      <c r="C174" s="437" t="s">
        <v>44</v>
      </c>
      <c r="D174" s="450">
        <v>0</v>
      </c>
      <c r="E174" s="450">
        <v>0</v>
      </c>
      <c r="F174" s="450">
        <v>0</v>
      </c>
      <c r="G174" s="441">
        <f t="shared" si="32"/>
        <v>0</v>
      </c>
      <c r="H174" s="442">
        <f t="shared" si="31"/>
        <v>0</v>
      </c>
      <c r="I174" s="429"/>
      <c r="J174" s="429"/>
    </row>
    <row r="175" spans="1:10" ht="15.75" customHeight="1" x14ac:dyDescent="0.2">
      <c r="A175" s="830"/>
      <c r="B175" s="430"/>
      <c r="C175" s="431" t="s">
        <v>45</v>
      </c>
      <c r="D175" s="432">
        <f>SUM(D176:D183)</f>
        <v>0</v>
      </c>
      <c r="E175" s="433"/>
      <c r="F175" s="433"/>
      <c r="G175" s="432">
        <f>SUM(G176:G183)</f>
        <v>0</v>
      </c>
      <c r="H175" s="435">
        <f>SUM(H176:H183)</f>
        <v>0</v>
      </c>
      <c r="I175" s="429"/>
      <c r="J175" s="429"/>
    </row>
    <row r="176" spans="1:10" ht="15.75" customHeight="1" x14ac:dyDescent="0.2">
      <c r="A176" s="830"/>
      <c r="B176" s="436">
        <v>53204010000000</v>
      </c>
      <c r="C176" s="437" t="s">
        <v>47</v>
      </c>
      <c r="D176" s="450">
        <v>0</v>
      </c>
      <c r="E176" s="450">
        <v>0</v>
      </c>
      <c r="F176" s="450">
        <v>0</v>
      </c>
      <c r="G176" s="441">
        <f t="shared" si="32"/>
        <v>0</v>
      </c>
      <c r="H176" s="442">
        <f t="shared" si="31"/>
        <v>0</v>
      </c>
      <c r="I176" s="429"/>
      <c r="J176" s="429"/>
    </row>
    <row r="177" spans="1:10" ht="15.75" customHeight="1" x14ac:dyDescent="0.2">
      <c r="A177" s="830"/>
      <c r="B177" s="455">
        <v>53204040200000</v>
      </c>
      <c r="C177" s="437" t="s">
        <v>211</v>
      </c>
      <c r="D177" s="450">
        <v>0</v>
      </c>
      <c r="E177" s="450">
        <v>0</v>
      </c>
      <c r="F177" s="450">
        <v>0</v>
      </c>
      <c r="G177" s="441">
        <f t="shared" si="32"/>
        <v>0</v>
      </c>
      <c r="H177" s="442">
        <f t="shared" si="31"/>
        <v>0</v>
      </c>
      <c r="I177" s="429"/>
      <c r="J177" s="429"/>
    </row>
    <row r="178" spans="1:10" ht="15.75" customHeight="1" x14ac:dyDescent="0.2">
      <c r="A178" s="830"/>
      <c r="B178" s="436">
        <v>53204060000000</v>
      </c>
      <c r="C178" s="437" t="s">
        <v>49</v>
      </c>
      <c r="D178" s="450">
        <v>0</v>
      </c>
      <c r="E178" s="450">
        <v>0</v>
      </c>
      <c r="F178" s="450">
        <v>0</v>
      </c>
      <c r="G178" s="441">
        <f t="shared" si="32"/>
        <v>0</v>
      </c>
      <c r="H178" s="442">
        <f t="shared" si="31"/>
        <v>0</v>
      </c>
      <c r="I178" s="429"/>
      <c r="J178" s="429"/>
    </row>
    <row r="179" spans="1:10" ht="15.75" customHeight="1" x14ac:dyDescent="0.2">
      <c r="A179" s="830"/>
      <c r="B179" s="436">
        <v>53204070000000</v>
      </c>
      <c r="C179" s="437" t="s">
        <v>50</v>
      </c>
      <c r="D179" s="450">
        <v>0</v>
      </c>
      <c r="E179" s="450">
        <v>0</v>
      </c>
      <c r="F179" s="450">
        <v>0</v>
      </c>
      <c r="G179" s="441">
        <f t="shared" si="32"/>
        <v>0</v>
      </c>
      <c r="H179" s="442">
        <f t="shared" si="31"/>
        <v>0</v>
      </c>
      <c r="I179" s="429"/>
      <c r="J179" s="429"/>
    </row>
    <row r="180" spans="1:10" ht="15.75" customHeight="1" x14ac:dyDescent="0.2">
      <c r="A180" s="830"/>
      <c r="B180" s="436">
        <v>53204080000000</v>
      </c>
      <c r="C180" s="437" t="s">
        <v>51</v>
      </c>
      <c r="D180" s="450">
        <v>0</v>
      </c>
      <c r="E180" s="450">
        <v>0</v>
      </c>
      <c r="F180" s="450">
        <v>0</v>
      </c>
      <c r="G180" s="441">
        <f t="shared" si="32"/>
        <v>0</v>
      </c>
      <c r="H180" s="442">
        <f t="shared" si="31"/>
        <v>0</v>
      </c>
      <c r="I180" s="429"/>
      <c r="J180" s="429"/>
    </row>
    <row r="181" spans="1:10" ht="15.75" customHeight="1" x14ac:dyDescent="0.2">
      <c r="A181" s="830"/>
      <c r="B181" s="436">
        <v>53214010000000</v>
      </c>
      <c r="C181" s="437" t="s">
        <v>52</v>
      </c>
      <c r="D181" s="456">
        <v>0</v>
      </c>
      <c r="E181" s="456">
        <v>0</v>
      </c>
      <c r="F181" s="456">
        <v>0</v>
      </c>
      <c r="G181" s="441">
        <f t="shared" si="32"/>
        <v>0</v>
      </c>
      <c r="H181" s="442">
        <f t="shared" si="31"/>
        <v>0</v>
      </c>
      <c r="I181" s="429"/>
      <c r="J181" s="429"/>
    </row>
    <row r="182" spans="1:10" ht="15.75" customHeight="1" x14ac:dyDescent="0.2">
      <c r="A182" s="830"/>
      <c r="B182" s="436">
        <v>53214040000000</v>
      </c>
      <c r="C182" s="437" t="s">
        <v>184</v>
      </c>
      <c r="D182" s="456">
        <v>0</v>
      </c>
      <c r="E182" s="456">
        <v>0</v>
      </c>
      <c r="F182" s="456">
        <v>0</v>
      </c>
      <c r="G182" s="441">
        <f t="shared" si="32"/>
        <v>0</v>
      </c>
      <c r="H182" s="442">
        <f t="shared" si="31"/>
        <v>0</v>
      </c>
      <c r="I182" s="429"/>
      <c r="J182" s="429"/>
    </row>
    <row r="183" spans="1:10" ht="15.75" customHeight="1" x14ac:dyDescent="0.2">
      <c r="A183" s="830"/>
      <c r="B183" s="446">
        <v>53204020100000</v>
      </c>
      <c r="C183" s="437" t="s">
        <v>176</v>
      </c>
      <c r="D183" s="450">
        <v>0</v>
      </c>
      <c r="E183" s="450">
        <v>0</v>
      </c>
      <c r="F183" s="450">
        <v>0</v>
      </c>
      <c r="G183" s="441">
        <f t="shared" si="32"/>
        <v>0</v>
      </c>
      <c r="H183" s="442">
        <f t="shared" si="31"/>
        <v>0</v>
      </c>
      <c r="I183" s="429"/>
      <c r="J183" s="429"/>
    </row>
    <row r="184" spans="1:10" ht="15.75" customHeight="1" x14ac:dyDescent="0.2">
      <c r="A184" s="830"/>
      <c r="B184" s="430"/>
      <c r="C184" s="431" t="s">
        <v>55</v>
      </c>
      <c r="D184" s="432">
        <f>SUM(D185:D192)</f>
        <v>0</v>
      </c>
      <c r="E184" s="433"/>
      <c r="F184" s="433"/>
      <c r="G184" s="432">
        <f>SUM(G185:G192)</f>
        <v>0</v>
      </c>
      <c r="H184" s="435">
        <f>SUM(H185:H192)</f>
        <v>0</v>
      </c>
      <c r="I184" s="429"/>
      <c r="J184" s="429"/>
    </row>
    <row r="185" spans="1:10" ht="15.75" customHeight="1" x14ac:dyDescent="0.2">
      <c r="A185" s="830"/>
      <c r="B185" s="436">
        <v>53207010000000</v>
      </c>
      <c r="C185" s="437" t="s">
        <v>56</v>
      </c>
      <c r="D185" s="450">
        <v>0</v>
      </c>
      <c r="E185" s="450">
        <v>0</v>
      </c>
      <c r="F185" s="450">
        <v>0</v>
      </c>
      <c r="G185" s="441">
        <f t="shared" si="32"/>
        <v>0</v>
      </c>
      <c r="H185" s="442">
        <f t="shared" si="31"/>
        <v>0</v>
      </c>
      <c r="I185" s="429"/>
      <c r="J185" s="429"/>
    </row>
    <row r="186" spans="1:10" ht="15.75" customHeight="1" x14ac:dyDescent="0.2">
      <c r="A186" s="830"/>
      <c r="B186" s="436">
        <v>53207020000000</v>
      </c>
      <c r="C186" s="437" t="s">
        <v>57</v>
      </c>
      <c r="D186" s="450">
        <v>0</v>
      </c>
      <c r="E186" s="450">
        <v>0</v>
      </c>
      <c r="F186" s="450">
        <v>0</v>
      </c>
      <c r="G186" s="441">
        <f t="shared" si="32"/>
        <v>0</v>
      </c>
      <c r="H186" s="442">
        <f t="shared" si="31"/>
        <v>0</v>
      </c>
      <c r="I186" s="429"/>
      <c r="J186" s="429"/>
    </row>
    <row r="187" spans="1:10" ht="15.75" customHeight="1" x14ac:dyDescent="0.2">
      <c r="A187" s="830"/>
      <c r="B187" s="436">
        <v>53208020000000</v>
      </c>
      <c r="C187" s="437" t="s">
        <v>167</v>
      </c>
      <c r="D187" s="450">
        <v>0</v>
      </c>
      <c r="E187" s="450">
        <v>0</v>
      </c>
      <c r="F187" s="450">
        <v>0</v>
      </c>
      <c r="G187" s="441">
        <f t="shared" si="32"/>
        <v>0</v>
      </c>
      <c r="H187" s="442">
        <f t="shared" si="31"/>
        <v>0</v>
      </c>
      <c r="I187" s="429"/>
      <c r="J187" s="429"/>
    </row>
    <row r="188" spans="1:10" ht="15.75" customHeight="1" x14ac:dyDescent="0.2">
      <c r="A188" s="830"/>
      <c r="B188" s="436">
        <v>53208990000000</v>
      </c>
      <c r="C188" s="437" t="s">
        <v>185</v>
      </c>
      <c r="D188" s="450">
        <v>0</v>
      </c>
      <c r="E188" s="450">
        <v>0</v>
      </c>
      <c r="F188" s="450">
        <v>0</v>
      </c>
      <c r="G188" s="441">
        <f t="shared" si="32"/>
        <v>0</v>
      </c>
      <c r="H188" s="442">
        <f t="shared" si="31"/>
        <v>0</v>
      </c>
      <c r="I188" s="429"/>
      <c r="J188" s="429"/>
    </row>
    <row r="189" spans="1:10" ht="15.75" customHeight="1" x14ac:dyDescent="0.2">
      <c r="A189" s="830"/>
      <c r="B189" s="446">
        <v>53210020300000</v>
      </c>
      <c r="C189" s="437" t="s">
        <v>187</v>
      </c>
      <c r="D189" s="449">
        <v>0</v>
      </c>
      <c r="E189" s="449">
        <v>0</v>
      </c>
      <c r="F189" s="451">
        <v>0</v>
      </c>
      <c r="G189" s="441">
        <f t="shared" si="32"/>
        <v>0</v>
      </c>
      <c r="H189" s="442">
        <f t="shared" si="31"/>
        <v>0</v>
      </c>
      <c r="I189" s="429"/>
      <c r="J189" s="429"/>
    </row>
    <row r="190" spans="1:10" ht="15.75" customHeight="1" x14ac:dyDescent="0.2">
      <c r="A190" s="830"/>
      <c r="B190" s="436">
        <v>53208990000000</v>
      </c>
      <c r="C190" s="437" t="s">
        <v>188</v>
      </c>
      <c r="D190" s="450">
        <v>0</v>
      </c>
      <c r="E190" s="450">
        <v>0</v>
      </c>
      <c r="F190" s="450">
        <v>0</v>
      </c>
      <c r="G190" s="441">
        <f t="shared" si="32"/>
        <v>0</v>
      </c>
      <c r="H190" s="442">
        <f t="shared" si="31"/>
        <v>0</v>
      </c>
      <c r="I190" s="429"/>
      <c r="J190" s="429"/>
    </row>
    <row r="191" spans="1:10" ht="15.75" customHeight="1" x14ac:dyDescent="0.2">
      <c r="A191" s="830"/>
      <c r="B191" s="436">
        <v>53209990000000</v>
      </c>
      <c r="C191" s="437" t="s">
        <v>186</v>
      </c>
      <c r="D191" s="450">
        <v>0</v>
      </c>
      <c r="E191" s="450">
        <v>0</v>
      </c>
      <c r="F191" s="450">
        <v>0</v>
      </c>
      <c r="G191" s="441">
        <f t="shared" si="32"/>
        <v>0</v>
      </c>
      <c r="H191" s="442">
        <f t="shared" si="31"/>
        <v>0</v>
      </c>
      <c r="I191" s="429"/>
      <c r="J191" s="429"/>
    </row>
    <row r="192" spans="1:10" ht="15.75" customHeight="1" x14ac:dyDescent="0.2">
      <c r="A192" s="830"/>
      <c r="B192" s="436">
        <v>53210020100000</v>
      </c>
      <c r="C192" s="437" t="s">
        <v>64</v>
      </c>
      <c r="D192" s="450">
        <v>0</v>
      </c>
      <c r="E192" s="450">
        <v>0</v>
      </c>
      <c r="F192" s="450">
        <v>0</v>
      </c>
      <c r="G192" s="441">
        <f t="shared" si="32"/>
        <v>0</v>
      </c>
      <c r="H192" s="442">
        <f t="shared" si="31"/>
        <v>0</v>
      </c>
      <c r="I192" s="429"/>
      <c r="J192" s="429"/>
    </row>
    <row r="193" spans="1:10" ht="15.75" customHeight="1" x14ac:dyDescent="0.2">
      <c r="A193" s="830"/>
      <c r="B193" s="430"/>
      <c r="C193" s="431" t="s">
        <v>65</v>
      </c>
      <c r="D193" s="432">
        <f>SUM(D194:D200)</f>
        <v>0</v>
      </c>
      <c r="E193" s="433"/>
      <c r="F193" s="433"/>
      <c r="G193" s="432">
        <f>SUM(G194:G200)</f>
        <v>0</v>
      </c>
      <c r="H193" s="435">
        <f>SUM(H194:H200)</f>
        <v>0</v>
      </c>
      <c r="I193" s="429"/>
      <c r="J193" s="429"/>
    </row>
    <row r="194" spans="1:10" ht="15.75" customHeight="1" x14ac:dyDescent="0.2">
      <c r="A194" s="830"/>
      <c r="B194" s="436">
        <v>53206030000000</v>
      </c>
      <c r="C194" s="437" t="s">
        <v>99</v>
      </c>
      <c r="D194" s="450">
        <v>0</v>
      </c>
      <c r="E194" s="450">
        <v>0</v>
      </c>
      <c r="F194" s="450">
        <v>0</v>
      </c>
      <c r="G194" s="441">
        <f t="shared" si="32"/>
        <v>0</v>
      </c>
      <c r="H194" s="442">
        <f t="shared" si="31"/>
        <v>0</v>
      </c>
      <c r="I194" s="429"/>
      <c r="J194" s="429"/>
    </row>
    <row r="195" spans="1:10" ht="15.75" customHeight="1" x14ac:dyDescent="0.2">
      <c r="A195" s="830"/>
      <c r="B195" s="436">
        <v>53206040000000</v>
      </c>
      <c r="C195" s="437" t="s">
        <v>100</v>
      </c>
      <c r="D195" s="450">
        <v>0</v>
      </c>
      <c r="E195" s="450">
        <v>0</v>
      </c>
      <c r="F195" s="450">
        <v>0</v>
      </c>
      <c r="G195" s="441">
        <f t="shared" si="32"/>
        <v>0</v>
      </c>
      <c r="H195" s="442">
        <f t="shared" si="31"/>
        <v>0</v>
      </c>
      <c r="I195" s="429"/>
      <c r="J195" s="429"/>
    </row>
    <row r="196" spans="1:10" ht="15.75" customHeight="1" x14ac:dyDescent="0.2">
      <c r="A196" s="830"/>
      <c r="B196" s="436">
        <v>53206060000000</v>
      </c>
      <c r="C196" s="437" t="s">
        <v>189</v>
      </c>
      <c r="D196" s="450">
        <v>0</v>
      </c>
      <c r="E196" s="450">
        <v>0</v>
      </c>
      <c r="F196" s="450">
        <v>0</v>
      </c>
      <c r="G196" s="441">
        <f t="shared" si="32"/>
        <v>0</v>
      </c>
      <c r="H196" s="442">
        <f t="shared" si="31"/>
        <v>0</v>
      </c>
      <c r="I196" s="429"/>
      <c r="J196" s="429"/>
    </row>
    <row r="197" spans="1:10" ht="15.75" customHeight="1" x14ac:dyDescent="0.2">
      <c r="A197" s="830"/>
      <c r="B197" s="436">
        <v>53206070000000</v>
      </c>
      <c r="C197" s="437" t="s">
        <v>102</v>
      </c>
      <c r="D197" s="450">
        <v>0</v>
      </c>
      <c r="E197" s="450">
        <v>0</v>
      </c>
      <c r="F197" s="450">
        <v>0</v>
      </c>
      <c r="G197" s="441">
        <f t="shared" si="32"/>
        <v>0</v>
      </c>
      <c r="H197" s="442">
        <f t="shared" si="31"/>
        <v>0</v>
      </c>
      <c r="I197" s="429"/>
      <c r="J197" s="429"/>
    </row>
    <row r="198" spans="1:10" ht="15.75" customHeight="1" x14ac:dyDescent="0.2">
      <c r="A198" s="830"/>
      <c r="B198" s="436">
        <v>53206990000000</v>
      </c>
      <c r="C198" s="437" t="s">
        <v>190</v>
      </c>
      <c r="D198" s="450">
        <v>0</v>
      </c>
      <c r="E198" s="450">
        <v>0</v>
      </c>
      <c r="F198" s="450">
        <v>0</v>
      </c>
      <c r="G198" s="441">
        <f t="shared" si="32"/>
        <v>0</v>
      </c>
      <c r="H198" s="442">
        <f t="shared" si="31"/>
        <v>0</v>
      </c>
      <c r="I198" s="429"/>
      <c r="J198" s="429"/>
    </row>
    <row r="199" spans="1:10" ht="15.75" customHeight="1" x14ac:dyDescent="0.2">
      <c r="A199" s="830"/>
      <c r="B199" s="436">
        <v>53208030000000</v>
      </c>
      <c r="C199" s="437" t="s">
        <v>104</v>
      </c>
      <c r="D199" s="450">
        <v>0</v>
      </c>
      <c r="E199" s="450">
        <v>0</v>
      </c>
      <c r="F199" s="450">
        <v>0</v>
      </c>
      <c r="G199" s="441">
        <f t="shared" si="32"/>
        <v>0</v>
      </c>
      <c r="H199" s="442">
        <f t="shared" si="31"/>
        <v>0</v>
      </c>
      <c r="I199" s="429"/>
      <c r="J199" s="429"/>
    </row>
    <row r="200" spans="1:10" ht="15.75" customHeight="1" x14ac:dyDescent="0.2">
      <c r="A200" s="830"/>
      <c r="B200" s="436">
        <v>53206990000000</v>
      </c>
      <c r="C200" s="437" t="s">
        <v>212</v>
      </c>
      <c r="D200" s="450">
        <v>0</v>
      </c>
      <c r="E200" s="450">
        <v>0</v>
      </c>
      <c r="F200" s="450">
        <v>0</v>
      </c>
      <c r="G200" s="441">
        <f t="shared" si="32"/>
        <v>0</v>
      </c>
      <c r="H200" s="442">
        <f t="shared" si="31"/>
        <v>0</v>
      </c>
      <c r="I200" s="429"/>
      <c r="J200" s="429"/>
    </row>
    <row r="201" spans="1:10" ht="15.75" customHeight="1" x14ac:dyDescent="0.2">
      <c r="A201" s="830"/>
      <c r="B201" s="430"/>
      <c r="C201" s="431" t="s">
        <v>66</v>
      </c>
      <c r="D201" s="432">
        <f>SUM(D202:D202)</f>
        <v>0</v>
      </c>
      <c r="E201" s="433"/>
      <c r="F201" s="433"/>
      <c r="G201" s="432">
        <f>SUM(G202:G202)</f>
        <v>0</v>
      </c>
      <c r="H201" s="435">
        <f>SUM(H202:H202)</f>
        <v>0</v>
      </c>
      <c r="I201" s="429"/>
      <c r="J201" s="429"/>
    </row>
    <row r="202" spans="1:10" ht="15.75" customHeight="1" x14ac:dyDescent="0.2">
      <c r="A202" s="830"/>
      <c r="B202" s="457"/>
      <c r="C202" s="458" t="s">
        <v>213</v>
      </c>
      <c r="D202" s="443">
        <v>0</v>
      </c>
      <c r="E202" s="443">
        <v>0</v>
      </c>
      <c r="F202" s="445">
        <v>0</v>
      </c>
      <c r="G202" s="441">
        <f t="shared" si="32"/>
        <v>0</v>
      </c>
      <c r="H202" s="459">
        <f t="shared" si="31"/>
        <v>0</v>
      </c>
      <c r="I202" s="460" t="s">
        <v>214</v>
      </c>
      <c r="J202" s="530">
        <f>+H200+H199+H198+H197+H196+H195+H194+H192+H191+H190+H189+H188+H187+H186+H185+H183+H180+H179+H178+H177+H176+H174+H172+H171+H165+H164+H163+H161+H160+H159+H158+H157+H156+H155+H154+H153+H152+H151</f>
        <v>0</v>
      </c>
    </row>
    <row r="203" spans="1:10" ht="15.75" customHeight="1" thickBot="1" x14ac:dyDescent="0.25">
      <c r="A203" s="831"/>
      <c r="B203" s="461"/>
      <c r="C203" s="462" t="s">
        <v>105</v>
      </c>
      <c r="D203" s="463">
        <f>SUM(D140,D167)</f>
        <v>0</v>
      </c>
      <c r="E203" s="464"/>
      <c r="F203" s="464"/>
      <c r="G203" s="463">
        <f>SUM(G140,G167)</f>
        <v>0</v>
      </c>
      <c r="H203" s="465">
        <f>SUM(H140,H167)</f>
        <v>0</v>
      </c>
      <c r="I203" s="466" t="s">
        <v>215</v>
      </c>
      <c r="J203" s="531">
        <f>+H203-J202</f>
        <v>0</v>
      </c>
    </row>
    <row r="204" spans="1:10" x14ac:dyDescent="0.2">
      <c r="B204" s="291"/>
      <c r="C204" s="292" t="s">
        <v>105</v>
      </c>
      <c r="D204" s="293">
        <f>SUM(D203+D75)</f>
        <v>70626692</v>
      </c>
      <c r="E204" s="293">
        <f>SUM(E203+E75)</f>
        <v>0</v>
      </c>
      <c r="F204" s="293">
        <f>SUM(F203+F75)</f>
        <v>0</v>
      </c>
      <c r="G204" s="293">
        <f>SUM(G203+G75)</f>
        <v>19246960</v>
      </c>
      <c r="H204" s="293">
        <f>SUM(H203+H75+H139)</f>
        <v>123924536.08</v>
      </c>
    </row>
    <row r="206" spans="1:10" x14ac:dyDescent="0.2">
      <c r="I206" s="302" t="s">
        <v>216</v>
      </c>
      <c r="J206" s="303">
        <f>SUM(J202+J74+J138)</f>
        <v>14164795</v>
      </c>
    </row>
    <row r="207" spans="1:10" x14ac:dyDescent="0.2">
      <c r="I207" s="304" t="s">
        <v>217</v>
      </c>
      <c r="J207" s="305">
        <f>SUM(J203+J75+J139)</f>
        <v>109759741.08</v>
      </c>
    </row>
  </sheetData>
  <sheetProtection algorithmName="SHA-512" hashValue="0r2ueRcnEfUv+NoGOYMaQNl2wsFpTpdPIaWR39noT5qZrR9U/qMWa24RnnvjziR5uzwlSWd30twuUSzCdn7zZQ==" saltValue="EMJ+kGYpTfwuGQ1E9J9dxw==" spinCount="100000" sheet="1" objects="1" scenarios="1"/>
  <mergeCells count="15">
    <mergeCell ref="A8:C8"/>
    <mergeCell ref="A10:A11"/>
    <mergeCell ref="C10:C11"/>
    <mergeCell ref="B10:B11"/>
    <mergeCell ref="A140:A203"/>
    <mergeCell ref="A76:A139"/>
    <mergeCell ref="A12:A75"/>
    <mergeCell ref="L10:L11"/>
    <mergeCell ref="M10:M11"/>
    <mergeCell ref="N10:N11"/>
    <mergeCell ref="O10:O11"/>
    <mergeCell ref="D4:E4"/>
    <mergeCell ref="E10:G10"/>
    <mergeCell ref="D10:D11"/>
    <mergeCell ref="H10:H1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A33" zoomScale="80" zoomScaleNormal="80" workbookViewId="0">
      <selection activeCell="N68" sqref="N68"/>
    </sheetView>
  </sheetViews>
  <sheetFormatPr baseColWidth="10" defaultColWidth="11.42578125" defaultRowHeight="12.75" x14ac:dyDescent="0.2"/>
  <cols>
    <col min="1" max="1" width="11.5703125" style="27" customWidth="1"/>
    <col min="2" max="2" width="28" style="27" customWidth="1"/>
    <col min="3" max="3" width="28.7109375" style="27" customWidth="1"/>
    <col min="4" max="4" width="24.140625" style="27" customWidth="1"/>
    <col min="5" max="5" width="25.140625" style="27" customWidth="1"/>
    <col min="6" max="6" width="22.140625" style="27" customWidth="1"/>
    <col min="7" max="7" width="14.85546875" style="27" customWidth="1"/>
    <col min="8" max="8" width="15" style="27" customWidth="1"/>
    <col min="9" max="9" width="15.140625" style="27" customWidth="1"/>
    <col min="10" max="10" width="17.42578125" style="27" customWidth="1"/>
    <col min="11" max="11" width="19.140625" style="27" customWidth="1"/>
    <col min="12" max="12" width="4.85546875" style="27" customWidth="1"/>
    <col min="13" max="13" width="19.140625" style="27" customWidth="1"/>
    <col min="14" max="14" width="16.140625" style="27" customWidth="1"/>
    <col min="15" max="15" width="17.140625" style="27" customWidth="1"/>
    <col min="16" max="16" width="14.85546875" style="27" customWidth="1"/>
    <col min="17" max="17" width="17.7109375" style="27" customWidth="1"/>
    <col min="18" max="18" width="17.140625" style="27" customWidth="1"/>
    <col min="19" max="19" width="17.42578125" style="27" customWidth="1"/>
    <col min="20" max="20" width="5" style="27" customWidth="1"/>
    <col min="21" max="21" width="19.85546875" style="27" bestFit="1" customWidth="1"/>
    <col min="22" max="22" width="52.140625" style="27" bestFit="1" customWidth="1"/>
    <col min="23" max="23" width="18.28515625" style="27" customWidth="1"/>
    <col min="24" max="24" width="5.7109375" style="27" customWidth="1"/>
    <col min="25" max="25" width="11.42578125" style="27" customWidth="1"/>
    <col min="26" max="31" width="14.28515625" style="27" customWidth="1"/>
    <col min="32" max="32" width="11.28515625" style="27" customWidth="1"/>
    <col min="33" max="38" width="14.28515625" style="27" customWidth="1"/>
    <col min="39" max="39" width="11.42578125" style="27"/>
    <col min="40" max="45" width="14.28515625" style="27" customWidth="1"/>
    <col min="46" max="16384" width="11.42578125" style="27"/>
  </cols>
  <sheetData>
    <row r="1" spans="1:242" s="5" customFormat="1" x14ac:dyDescent="0.2">
      <c r="C1" s="6"/>
      <c r="D1" s="6"/>
      <c r="E1" s="36" t="s">
        <v>201</v>
      </c>
      <c r="F1" s="36"/>
      <c r="G1" s="36"/>
      <c r="H1" s="36"/>
      <c r="I1" s="36"/>
      <c r="J1" s="6"/>
      <c r="K1" s="6"/>
      <c r="L1" s="6"/>
      <c r="IG1" s="3"/>
      <c r="IH1" s="3"/>
    </row>
    <row r="2" spans="1:242" s="5" customFormat="1" x14ac:dyDescent="0.2">
      <c r="E2" s="36" t="s">
        <v>193</v>
      </c>
      <c r="F2" s="36"/>
      <c r="G2" s="36"/>
      <c r="H2" s="36"/>
      <c r="I2" s="36"/>
      <c r="IG2" s="3"/>
      <c r="IH2" s="3"/>
    </row>
    <row r="3" spans="1:242" s="5" customFormat="1" x14ac:dyDescent="0.2">
      <c r="B3" s="2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HX3" s="3"/>
      <c r="HY3" s="3"/>
      <c r="HZ3" s="3"/>
      <c r="IA3" s="3"/>
      <c r="IB3" s="3"/>
      <c r="IC3" s="3"/>
    </row>
    <row r="4" spans="1:242" s="5" customFormat="1" ht="18.75" customHeight="1" x14ac:dyDescent="0.2">
      <c r="B4" s="22"/>
      <c r="D4" s="71" t="s">
        <v>0</v>
      </c>
      <c r="E4" s="115" t="str">
        <f>+'B) Reajuste Tarifas y Ocupación'!F5</f>
        <v>(DEPTO./DELEG.)</v>
      </c>
      <c r="F4" s="48"/>
      <c r="G4" s="49"/>
      <c r="H4" s="49"/>
      <c r="I4" s="49"/>
      <c r="J4" s="49"/>
      <c r="O4" s="2"/>
      <c r="HX4" s="3"/>
      <c r="HY4" s="3"/>
      <c r="HZ4" s="3"/>
      <c r="IA4" s="3"/>
      <c r="IB4" s="3"/>
      <c r="IC4" s="3"/>
    </row>
    <row r="5" spans="1:242" s="5" customFormat="1" x14ac:dyDescent="0.2">
      <c r="B5" s="22"/>
      <c r="D5" s="72"/>
      <c r="E5" s="75"/>
      <c r="F5" s="75"/>
      <c r="G5" s="75"/>
      <c r="H5" s="75"/>
      <c r="I5" s="75"/>
      <c r="J5" s="75"/>
      <c r="O5" s="2"/>
      <c r="HX5" s="3"/>
      <c r="HY5" s="3"/>
      <c r="HZ5" s="3"/>
      <c r="IA5" s="3"/>
      <c r="IB5" s="3"/>
      <c r="IC5" s="3"/>
    </row>
    <row r="6" spans="1:242" s="5" customFormat="1" ht="13.5" thickBot="1" x14ac:dyDescent="0.25">
      <c r="B6" s="22"/>
      <c r="D6" s="72"/>
      <c r="E6" s="75"/>
      <c r="F6" s="75"/>
      <c r="G6" s="75"/>
      <c r="H6" s="75"/>
      <c r="I6" s="75"/>
      <c r="J6" s="75"/>
      <c r="O6" s="2"/>
      <c r="HX6" s="3"/>
      <c r="HY6" s="3"/>
      <c r="HZ6" s="3"/>
      <c r="IA6" s="3"/>
      <c r="IB6" s="3"/>
      <c r="IC6" s="3"/>
    </row>
    <row r="7" spans="1:242" x14ac:dyDescent="0.2">
      <c r="B7" s="25"/>
      <c r="C7" s="25"/>
      <c r="D7" s="25"/>
      <c r="E7" s="25"/>
      <c r="F7" s="25"/>
      <c r="G7" s="25"/>
      <c r="H7" s="25"/>
      <c r="I7" s="25"/>
      <c r="J7" s="29"/>
      <c r="K7" s="29"/>
      <c r="L7" s="29"/>
      <c r="M7" s="29"/>
      <c r="N7" s="29"/>
      <c r="O7" s="29"/>
      <c r="P7" s="29"/>
      <c r="Q7" s="29"/>
      <c r="R7" s="29"/>
      <c r="Y7" s="139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1"/>
    </row>
    <row r="8" spans="1:242" x14ac:dyDescent="0.2">
      <c r="B8" s="25"/>
      <c r="C8" s="25"/>
      <c r="D8" s="25"/>
      <c r="E8" s="25"/>
      <c r="F8" s="25"/>
      <c r="G8" s="25"/>
      <c r="H8" s="25"/>
      <c r="I8" s="25"/>
      <c r="J8" s="29"/>
      <c r="K8" s="29"/>
      <c r="L8" s="29"/>
      <c r="M8" s="29"/>
      <c r="N8" s="29"/>
      <c r="O8" s="29"/>
      <c r="P8" s="29"/>
      <c r="Q8" s="29"/>
      <c r="R8" s="29"/>
      <c r="Y8" s="142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143"/>
    </row>
    <row r="9" spans="1:242" ht="15.75" customHeight="1" x14ac:dyDescent="0.2">
      <c r="A9" s="833" t="s">
        <v>150</v>
      </c>
      <c r="B9" s="833"/>
      <c r="C9" s="833"/>
      <c r="D9" s="833"/>
      <c r="E9" s="833"/>
      <c r="F9" s="833"/>
      <c r="G9" s="833"/>
      <c r="H9" s="833"/>
      <c r="I9" s="74"/>
      <c r="J9" s="74"/>
      <c r="K9" s="74"/>
      <c r="L9" s="74"/>
      <c r="M9" s="834" t="s">
        <v>151</v>
      </c>
      <c r="N9" s="834"/>
      <c r="O9" s="834"/>
      <c r="P9" s="834"/>
      <c r="Q9" s="834"/>
      <c r="R9" s="834"/>
      <c r="S9" s="834"/>
      <c r="U9" s="834" t="s">
        <v>152</v>
      </c>
      <c r="V9" s="834"/>
      <c r="W9" s="834"/>
      <c r="X9" s="92"/>
      <c r="Y9" s="144"/>
      <c r="Z9" s="834" t="s">
        <v>207</v>
      </c>
      <c r="AA9" s="834"/>
      <c r="AB9" s="834"/>
      <c r="AC9" s="834"/>
      <c r="AD9" s="834"/>
      <c r="AE9" s="834"/>
      <c r="AF9" s="92"/>
      <c r="AG9" s="834" t="s">
        <v>154</v>
      </c>
      <c r="AH9" s="834"/>
      <c r="AI9" s="834"/>
      <c r="AJ9" s="834"/>
      <c r="AK9" s="834"/>
      <c r="AL9" s="834"/>
      <c r="AM9" s="31"/>
      <c r="AN9" s="834" t="s">
        <v>155</v>
      </c>
      <c r="AO9" s="834"/>
      <c r="AP9" s="834"/>
      <c r="AQ9" s="834"/>
      <c r="AR9" s="834"/>
      <c r="AS9" s="834"/>
      <c r="AT9" s="143"/>
    </row>
    <row r="10" spans="1:242" ht="13.5" customHeight="1" x14ac:dyDescent="0.2">
      <c r="B10" s="22"/>
      <c r="C10" s="72"/>
      <c r="D10" s="72"/>
      <c r="E10" s="75"/>
      <c r="F10" s="75"/>
      <c r="G10" s="75"/>
      <c r="H10" s="75"/>
      <c r="I10" s="75"/>
      <c r="J10" s="75"/>
      <c r="M10" s="834"/>
      <c r="N10" s="834"/>
      <c r="O10" s="834"/>
      <c r="P10" s="834"/>
      <c r="Q10" s="834"/>
      <c r="R10" s="834"/>
      <c r="S10" s="834"/>
      <c r="U10" s="834"/>
      <c r="V10" s="834"/>
      <c r="W10" s="834"/>
      <c r="Y10" s="142"/>
      <c r="Z10" s="834"/>
      <c r="AA10" s="834"/>
      <c r="AB10" s="834"/>
      <c r="AC10" s="834"/>
      <c r="AD10" s="834"/>
      <c r="AE10" s="834"/>
      <c r="AF10" s="31"/>
      <c r="AG10" s="834"/>
      <c r="AH10" s="834"/>
      <c r="AI10" s="834"/>
      <c r="AJ10" s="834"/>
      <c r="AK10" s="834"/>
      <c r="AL10" s="834"/>
      <c r="AM10" s="31"/>
      <c r="AN10" s="834"/>
      <c r="AO10" s="834"/>
      <c r="AP10" s="834"/>
      <c r="AQ10" s="834"/>
      <c r="AR10" s="834"/>
      <c r="AS10" s="834"/>
      <c r="AT10" s="143"/>
    </row>
    <row r="11" spans="1:242" x14ac:dyDescent="0.2">
      <c r="J11" s="52" t="s">
        <v>4</v>
      </c>
      <c r="K11" s="51">
        <v>0.13</v>
      </c>
      <c r="Y11" s="142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143"/>
    </row>
    <row r="12" spans="1:242" ht="12.75" customHeight="1" thickBot="1" x14ac:dyDescent="0.25">
      <c r="K12" s="31"/>
      <c r="L12" s="31"/>
      <c r="M12" s="859"/>
      <c r="N12" s="859"/>
      <c r="O12" s="859"/>
      <c r="P12" s="859"/>
      <c r="Q12" s="859"/>
      <c r="R12" s="859"/>
      <c r="Y12" s="142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143"/>
    </row>
    <row r="13" spans="1:242" ht="21.75" customHeight="1" x14ac:dyDescent="0.2">
      <c r="A13" s="848" t="s">
        <v>117</v>
      </c>
      <c r="B13" s="849"/>
      <c r="C13" s="852" t="s">
        <v>73</v>
      </c>
      <c r="D13" s="852" t="s">
        <v>74</v>
      </c>
      <c r="E13" s="854" t="s">
        <v>3</v>
      </c>
      <c r="F13" s="854" t="s">
        <v>81</v>
      </c>
      <c r="G13" s="856" t="s">
        <v>265</v>
      </c>
      <c r="H13" s="857"/>
      <c r="I13" s="857"/>
      <c r="J13" s="858"/>
      <c r="K13" s="841" t="s">
        <v>267</v>
      </c>
      <c r="L13" s="29"/>
      <c r="M13" s="839" t="s">
        <v>69</v>
      </c>
      <c r="N13" s="843"/>
      <c r="O13" s="844" t="s">
        <v>70</v>
      </c>
      <c r="P13" s="845"/>
      <c r="Q13" s="846" t="s">
        <v>71</v>
      </c>
      <c r="R13" s="847"/>
      <c r="S13" s="879" t="s">
        <v>141</v>
      </c>
      <c r="U13" s="835" t="s">
        <v>75</v>
      </c>
      <c r="V13" s="837" t="s">
        <v>76</v>
      </c>
      <c r="W13" s="881" t="s">
        <v>268</v>
      </c>
      <c r="Y13" s="142"/>
      <c r="Z13" s="886" t="s">
        <v>69</v>
      </c>
      <c r="AA13" s="887"/>
      <c r="AB13" s="888" t="s">
        <v>70</v>
      </c>
      <c r="AC13" s="889"/>
      <c r="AD13" s="890" t="s">
        <v>71</v>
      </c>
      <c r="AE13" s="891"/>
      <c r="AF13" s="31"/>
      <c r="AG13" s="839" t="s">
        <v>69</v>
      </c>
      <c r="AH13" s="840"/>
      <c r="AI13" s="844" t="s">
        <v>70</v>
      </c>
      <c r="AJ13" s="845"/>
      <c r="AK13" s="882" t="s">
        <v>71</v>
      </c>
      <c r="AL13" s="883"/>
      <c r="AM13" s="31"/>
      <c r="AN13" s="839" t="s">
        <v>69</v>
      </c>
      <c r="AO13" s="840"/>
      <c r="AP13" s="844" t="s">
        <v>70</v>
      </c>
      <c r="AQ13" s="845"/>
      <c r="AR13" s="882" t="s">
        <v>71</v>
      </c>
      <c r="AS13" s="883"/>
      <c r="AT13" s="143"/>
    </row>
    <row r="14" spans="1:242" s="31" customFormat="1" ht="50.25" customHeight="1" thickBot="1" x14ac:dyDescent="0.25">
      <c r="A14" s="850"/>
      <c r="B14" s="851"/>
      <c r="C14" s="853"/>
      <c r="D14" s="853"/>
      <c r="E14" s="855"/>
      <c r="F14" s="855"/>
      <c r="G14" s="473" t="s">
        <v>218</v>
      </c>
      <c r="H14" s="474" t="s">
        <v>115</v>
      </c>
      <c r="I14" s="473" t="s">
        <v>116</v>
      </c>
      <c r="J14" s="500" t="s">
        <v>266</v>
      </c>
      <c r="K14" s="842"/>
      <c r="L14" s="29"/>
      <c r="M14" s="123" t="s">
        <v>36</v>
      </c>
      <c r="N14" s="125" t="s">
        <v>37</v>
      </c>
      <c r="O14" s="133" t="s">
        <v>36</v>
      </c>
      <c r="P14" s="134" t="s">
        <v>37</v>
      </c>
      <c r="Q14" s="126" t="s">
        <v>36</v>
      </c>
      <c r="R14" s="618" t="s">
        <v>37</v>
      </c>
      <c r="S14" s="880"/>
      <c r="U14" s="836"/>
      <c r="V14" s="838"/>
      <c r="W14" s="881"/>
      <c r="Y14" s="142"/>
      <c r="Z14" s="123" t="s">
        <v>36</v>
      </c>
      <c r="AA14" s="125" t="s">
        <v>37</v>
      </c>
      <c r="AB14" s="133" t="s">
        <v>36</v>
      </c>
      <c r="AC14" s="134" t="s">
        <v>37</v>
      </c>
      <c r="AD14" s="126" t="s">
        <v>36</v>
      </c>
      <c r="AE14" s="124" t="s">
        <v>37</v>
      </c>
      <c r="AG14" s="145" t="s">
        <v>36</v>
      </c>
      <c r="AH14" s="146" t="s">
        <v>37</v>
      </c>
      <c r="AI14" s="147" t="s">
        <v>36</v>
      </c>
      <c r="AJ14" s="148" t="s">
        <v>37</v>
      </c>
      <c r="AK14" s="149" t="s">
        <v>36</v>
      </c>
      <c r="AL14" s="150" t="s">
        <v>37</v>
      </c>
      <c r="AN14" s="884" t="s">
        <v>142</v>
      </c>
      <c r="AO14" s="885"/>
      <c r="AP14" s="894" t="s">
        <v>142</v>
      </c>
      <c r="AQ14" s="895"/>
      <c r="AR14" s="896" t="s">
        <v>143</v>
      </c>
      <c r="AS14" s="897"/>
      <c r="AT14" s="143"/>
    </row>
    <row r="15" spans="1:242" s="31" customFormat="1" ht="12.75" customHeight="1" thickBot="1" x14ac:dyDescent="0.25">
      <c r="A15" s="866" t="s">
        <v>137</v>
      </c>
      <c r="B15" s="869" t="s">
        <v>93</v>
      </c>
      <c r="C15" s="475" t="s">
        <v>290</v>
      </c>
      <c r="D15" s="338" t="s">
        <v>291</v>
      </c>
      <c r="E15" s="476" t="s">
        <v>292</v>
      </c>
      <c r="F15" s="695" t="s">
        <v>118</v>
      </c>
      <c r="G15" s="328">
        <f>1972613*12</f>
        <v>23671356</v>
      </c>
      <c r="H15" s="339">
        <f>65535+85466</f>
        <v>151001</v>
      </c>
      <c r="I15" s="696">
        <f>72819*2</f>
        <v>145638</v>
      </c>
      <c r="J15" s="675">
        <f>SUM(G15:I15)</f>
        <v>23967995</v>
      </c>
      <c r="K15" s="477">
        <f>+J15*(1+$K$11)</f>
        <v>27083834.349999998</v>
      </c>
      <c r="L15" s="29"/>
      <c r="M15" s="716">
        <v>0.6</v>
      </c>
      <c r="N15" s="119">
        <f t="shared" ref="N15:N61" si="0">+$K15*M15</f>
        <v>16250300.609999998</v>
      </c>
      <c r="O15" s="105">
        <v>0.4</v>
      </c>
      <c r="P15" s="130">
        <f t="shared" ref="P15:P61" si="1">+$K15*O15</f>
        <v>10833533.74</v>
      </c>
      <c r="Q15" s="127">
        <v>0</v>
      </c>
      <c r="R15" s="619">
        <f t="shared" ref="R15:R61" si="2">+$K15*Q15</f>
        <v>0</v>
      </c>
      <c r="S15" s="664">
        <f>+M15+O15+Q15</f>
        <v>1</v>
      </c>
      <c r="U15" s="96"/>
      <c r="V15" s="93" t="s">
        <v>11</v>
      </c>
      <c r="W15" s="99">
        <f>SUM(W16,W20)</f>
        <v>8881360</v>
      </c>
      <c r="Y15" s="142"/>
      <c r="Z15" s="135">
        <f t="shared" ref="Z15:AE15" si="3">+M62</f>
        <v>0.60545443646642083</v>
      </c>
      <c r="AA15" s="137">
        <f t="shared" si="3"/>
        <v>57713397.344799995</v>
      </c>
      <c r="AB15" s="135">
        <f t="shared" si="3"/>
        <v>0.39454556353357928</v>
      </c>
      <c r="AC15" s="138">
        <f t="shared" si="3"/>
        <v>37609047.861199997</v>
      </c>
      <c r="AD15" s="136">
        <f t="shared" si="3"/>
        <v>0</v>
      </c>
      <c r="AE15" s="138">
        <f t="shared" si="3"/>
        <v>0</v>
      </c>
      <c r="AG15" s="157">
        <f>+Z15</f>
        <v>0.60545443646642083</v>
      </c>
      <c r="AH15" s="151">
        <f>+AG15*W80</f>
        <v>9131076.3199472204</v>
      </c>
      <c r="AI15" s="158">
        <f>+AB15</f>
        <v>0.39454556353357928</v>
      </c>
      <c r="AJ15" s="151">
        <f>+AI15*W80</f>
        <v>5950283.6800527815</v>
      </c>
      <c r="AK15" s="159">
        <f>+AD15</f>
        <v>0</v>
      </c>
      <c r="AL15" s="152">
        <f>+AK15*W80</f>
        <v>0</v>
      </c>
      <c r="AN15" s="892">
        <f>+AH15+AA15</f>
        <v>66844473.664747216</v>
      </c>
      <c r="AO15" s="893"/>
      <c r="AP15" s="892">
        <f>+AJ15+AC15+K70</f>
        <v>47262341.541252777</v>
      </c>
      <c r="AQ15" s="893"/>
      <c r="AR15" s="892">
        <f>+AL15+AE15</f>
        <v>0</v>
      </c>
      <c r="AS15" s="898"/>
      <c r="AT15" s="143"/>
    </row>
    <row r="16" spans="1:242" s="31" customFormat="1" x14ac:dyDescent="0.2">
      <c r="A16" s="867"/>
      <c r="B16" s="870"/>
      <c r="C16" s="478"/>
      <c r="D16" s="331"/>
      <c r="E16" s="479"/>
      <c r="F16" s="480"/>
      <c r="G16" s="328"/>
      <c r="H16" s="328"/>
      <c r="I16" s="481"/>
      <c r="J16" s="676">
        <f t="shared" ref="J16:J69" si="4">SUM(G16:I16)</f>
        <v>0</v>
      </c>
      <c r="K16" s="482">
        <f t="shared" ref="K16:K61" si="5">+J16*(1+$K$11)</f>
        <v>0</v>
      </c>
      <c r="L16" s="29"/>
      <c r="M16" s="717">
        <v>0</v>
      </c>
      <c r="N16" s="120">
        <v>0</v>
      </c>
      <c r="O16" s="117">
        <v>0</v>
      </c>
      <c r="P16" s="118">
        <v>0</v>
      </c>
      <c r="Q16" s="128">
        <v>0</v>
      </c>
      <c r="R16" s="620">
        <f t="shared" si="2"/>
        <v>0</v>
      </c>
      <c r="S16" s="665">
        <f t="shared" ref="S16:S61" si="6">+M16+O16+Q16</f>
        <v>0</v>
      </c>
      <c r="U16" s="97"/>
      <c r="V16" s="94" t="s">
        <v>12</v>
      </c>
      <c r="W16" s="100">
        <f>SUM(W17:W19)</f>
        <v>0</v>
      </c>
      <c r="Y16" s="142"/>
      <c r="AT16" s="143"/>
    </row>
    <row r="17" spans="1:46" s="31" customFormat="1" ht="12.75" customHeight="1" x14ac:dyDescent="0.2">
      <c r="A17" s="867"/>
      <c r="B17" s="870"/>
      <c r="C17" s="478" t="s">
        <v>293</v>
      </c>
      <c r="D17" s="331" t="s">
        <v>294</v>
      </c>
      <c r="E17" s="479" t="s">
        <v>295</v>
      </c>
      <c r="F17" s="480" t="s">
        <v>118</v>
      </c>
      <c r="G17" s="328">
        <f>1016187*12</f>
        <v>12194244</v>
      </c>
      <c r="H17" s="328">
        <f>101037+171709</f>
        <v>272746</v>
      </c>
      <c r="I17" s="481">
        <f>74515*2</f>
        <v>149030</v>
      </c>
      <c r="J17" s="676">
        <f t="shared" si="4"/>
        <v>12616020</v>
      </c>
      <c r="K17" s="482">
        <f t="shared" si="5"/>
        <v>14256102.599999998</v>
      </c>
      <c r="L17" s="29"/>
      <c r="M17" s="717">
        <v>0.6</v>
      </c>
      <c r="N17" s="120">
        <f t="shared" si="0"/>
        <v>8553661.5599999987</v>
      </c>
      <c r="O17" s="117">
        <v>0.4</v>
      </c>
      <c r="P17" s="118">
        <f t="shared" si="1"/>
        <v>5702441.0399999991</v>
      </c>
      <c r="Q17" s="128">
        <v>0</v>
      </c>
      <c r="R17" s="620">
        <f t="shared" si="2"/>
        <v>0</v>
      </c>
      <c r="S17" s="665">
        <f t="shared" si="6"/>
        <v>1</v>
      </c>
      <c r="U17" s="98">
        <v>53103050000000</v>
      </c>
      <c r="V17" s="95" t="s">
        <v>13</v>
      </c>
      <c r="W17" s="101">
        <v>0</v>
      </c>
      <c r="Y17" s="142"/>
      <c r="AT17" s="143"/>
    </row>
    <row r="18" spans="1:46" s="31" customFormat="1" ht="13.5" customHeight="1" thickBot="1" x14ac:dyDescent="0.25">
      <c r="A18" s="867"/>
      <c r="B18" s="870"/>
      <c r="C18" s="478" t="s">
        <v>296</v>
      </c>
      <c r="D18" s="331" t="s">
        <v>297</v>
      </c>
      <c r="E18" s="479" t="s">
        <v>298</v>
      </c>
      <c r="F18" s="480" t="s">
        <v>118</v>
      </c>
      <c r="G18" s="328">
        <f>1056107*12</f>
        <v>12673284</v>
      </c>
      <c r="H18" s="328">
        <f t="shared" ref="H18:H19" si="7">101037+171709</f>
        <v>272746</v>
      </c>
      <c r="I18" s="481">
        <f>74515*2</f>
        <v>149030</v>
      </c>
      <c r="J18" s="676">
        <f t="shared" si="4"/>
        <v>13095060</v>
      </c>
      <c r="K18" s="482">
        <f t="shared" si="5"/>
        <v>14797417.799999999</v>
      </c>
      <c r="L18" s="29"/>
      <c r="M18" s="717">
        <v>0.6</v>
      </c>
      <c r="N18" s="120">
        <f t="shared" si="0"/>
        <v>8878450.6799999997</v>
      </c>
      <c r="O18" s="117">
        <v>0.4</v>
      </c>
      <c r="P18" s="118">
        <f t="shared" si="1"/>
        <v>5918967.1200000001</v>
      </c>
      <c r="Q18" s="128">
        <v>0</v>
      </c>
      <c r="R18" s="620">
        <f t="shared" si="2"/>
        <v>0</v>
      </c>
      <c r="S18" s="665">
        <f t="shared" si="6"/>
        <v>1</v>
      </c>
      <c r="U18" s="98">
        <v>53103060000000</v>
      </c>
      <c r="V18" s="95" t="s">
        <v>14</v>
      </c>
      <c r="W18" s="101">
        <v>0</v>
      </c>
      <c r="Y18" s="153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5"/>
    </row>
    <row r="19" spans="1:46" s="31" customFormat="1" x14ac:dyDescent="0.2">
      <c r="A19" s="867"/>
      <c r="B19" s="870"/>
      <c r="C19" s="478" t="s">
        <v>299</v>
      </c>
      <c r="D19" s="331" t="s">
        <v>300</v>
      </c>
      <c r="E19" s="479" t="s">
        <v>301</v>
      </c>
      <c r="F19" s="480" t="s">
        <v>118</v>
      </c>
      <c r="G19" s="328">
        <f>881105*12</f>
        <v>10573260</v>
      </c>
      <c r="H19" s="328">
        <f t="shared" si="7"/>
        <v>272746</v>
      </c>
      <c r="I19" s="481">
        <f>74515*2</f>
        <v>149030</v>
      </c>
      <c r="J19" s="676">
        <f t="shared" si="4"/>
        <v>10995036</v>
      </c>
      <c r="K19" s="482">
        <f t="shared" si="5"/>
        <v>12424390.68</v>
      </c>
      <c r="L19" s="29"/>
      <c r="M19" s="717">
        <v>0.6</v>
      </c>
      <c r="N19" s="120">
        <f t="shared" si="0"/>
        <v>7454634.4079999998</v>
      </c>
      <c r="O19" s="117">
        <v>0.4</v>
      </c>
      <c r="P19" s="118">
        <f t="shared" si="1"/>
        <v>4969756.2719999999</v>
      </c>
      <c r="Q19" s="128">
        <v>0</v>
      </c>
      <c r="R19" s="620">
        <f t="shared" si="2"/>
        <v>0</v>
      </c>
      <c r="S19" s="665">
        <f t="shared" si="6"/>
        <v>1</v>
      </c>
      <c r="U19" s="98">
        <v>53103080010000</v>
      </c>
      <c r="V19" s="95" t="s">
        <v>15</v>
      </c>
      <c r="W19" s="101">
        <v>0</v>
      </c>
    </row>
    <row r="20" spans="1:46" s="31" customFormat="1" x14ac:dyDescent="0.2">
      <c r="A20" s="867"/>
      <c r="B20" s="870"/>
      <c r="C20" s="478"/>
      <c r="D20" s="331"/>
      <c r="E20" s="479"/>
      <c r="F20" s="480" t="s">
        <v>118</v>
      </c>
      <c r="G20" s="328">
        <v>0</v>
      </c>
      <c r="H20" s="328">
        <v>0</v>
      </c>
      <c r="I20" s="481">
        <v>0</v>
      </c>
      <c r="J20" s="676">
        <f t="shared" si="4"/>
        <v>0</v>
      </c>
      <c r="K20" s="482">
        <f t="shared" si="5"/>
        <v>0</v>
      </c>
      <c r="L20" s="29"/>
      <c r="M20" s="717">
        <v>0</v>
      </c>
      <c r="N20" s="120">
        <f t="shared" si="0"/>
        <v>0</v>
      </c>
      <c r="O20" s="117">
        <v>0</v>
      </c>
      <c r="P20" s="118">
        <f t="shared" si="1"/>
        <v>0</v>
      </c>
      <c r="Q20" s="128">
        <v>0</v>
      </c>
      <c r="R20" s="620">
        <f t="shared" si="2"/>
        <v>0</v>
      </c>
      <c r="S20" s="665">
        <f t="shared" si="6"/>
        <v>0</v>
      </c>
      <c r="U20" s="97"/>
      <c r="V20" s="94" t="s">
        <v>16</v>
      </c>
      <c r="W20" s="156">
        <f>SUM(W21:W39)</f>
        <v>8881360</v>
      </c>
    </row>
    <row r="21" spans="1:46" s="31" customFormat="1" x14ac:dyDescent="0.2">
      <c r="A21" s="867"/>
      <c r="B21" s="870"/>
      <c r="C21" s="478"/>
      <c r="D21" s="331"/>
      <c r="E21" s="479"/>
      <c r="F21" s="480" t="s">
        <v>118</v>
      </c>
      <c r="G21" s="328">
        <v>0</v>
      </c>
      <c r="H21" s="328">
        <v>0</v>
      </c>
      <c r="I21" s="481">
        <v>0</v>
      </c>
      <c r="J21" s="676">
        <f t="shared" si="4"/>
        <v>0</v>
      </c>
      <c r="K21" s="482">
        <f t="shared" si="5"/>
        <v>0</v>
      </c>
      <c r="L21" s="29"/>
      <c r="M21" s="717">
        <v>0</v>
      </c>
      <c r="N21" s="120">
        <f t="shared" si="0"/>
        <v>0</v>
      </c>
      <c r="O21" s="117">
        <v>0</v>
      </c>
      <c r="P21" s="118">
        <f t="shared" si="1"/>
        <v>0</v>
      </c>
      <c r="Q21" s="128">
        <v>0</v>
      </c>
      <c r="R21" s="620">
        <f t="shared" si="2"/>
        <v>0</v>
      </c>
      <c r="S21" s="665">
        <f t="shared" si="6"/>
        <v>0</v>
      </c>
      <c r="U21" s="98">
        <v>53201010100000</v>
      </c>
      <c r="V21" s="95" t="s">
        <v>17</v>
      </c>
      <c r="W21" s="101">
        <v>3951360</v>
      </c>
    </row>
    <row r="22" spans="1:46" s="31" customFormat="1" x14ac:dyDescent="0.2">
      <c r="A22" s="867"/>
      <c r="B22" s="870"/>
      <c r="C22" s="478"/>
      <c r="D22" s="331"/>
      <c r="E22" s="479"/>
      <c r="F22" s="480" t="s">
        <v>118</v>
      </c>
      <c r="G22" s="328">
        <v>0</v>
      </c>
      <c r="H22" s="328">
        <v>0</v>
      </c>
      <c r="I22" s="481">
        <v>0</v>
      </c>
      <c r="J22" s="676">
        <f t="shared" si="4"/>
        <v>0</v>
      </c>
      <c r="K22" s="482">
        <f t="shared" si="5"/>
        <v>0</v>
      </c>
      <c r="L22" s="29"/>
      <c r="M22" s="717">
        <v>0</v>
      </c>
      <c r="N22" s="120">
        <f t="shared" si="0"/>
        <v>0</v>
      </c>
      <c r="O22" s="117">
        <v>0</v>
      </c>
      <c r="P22" s="118">
        <f t="shared" si="1"/>
        <v>0</v>
      </c>
      <c r="Q22" s="128">
        <v>0</v>
      </c>
      <c r="R22" s="620">
        <f t="shared" si="2"/>
        <v>0</v>
      </c>
      <c r="S22" s="665">
        <f t="shared" si="6"/>
        <v>0</v>
      </c>
      <c r="U22" s="98">
        <v>53202010100000</v>
      </c>
      <c r="V22" s="95" t="s">
        <v>18</v>
      </c>
      <c r="W22" s="101">
        <v>0</v>
      </c>
    </row>
    <row r="23" spans="1:46" s="31" customFormat="1" x14ac:dyDescent="0.2">
      <c r="A23" s="867"/>
      <c r="B23" s="870"/>
      <c r="C23" s="478"/>
      <c r="D23" s="331"/>
      <c r="E23" s="479"/>
      <c r="F23" s="480" t="s">
        <v>118</v>
      </c>
      <c r="G23" s="328">
        <v>0</v>
      </c>
      <c r="H23" s="328">
        <v>0</v>
      </c>
      <c r="I23" s="481">
        <v>0</v>
      </c>
      <c r="J23" s="676">
        <f t="shared" si="4"/>
        <v>0</v>
      </c>
      <c r="K23" s="482">
        <f t="shared" si="5"/>
        <v>0</v>
      </c>
      <c r="L23" s="29"/>
      <c r="M23" s="717">
        <v>0</v>
      </c>
      <c r="N23" s="120">
        <f t="shared" si="0"/>
        <v>0</v>
      </c>
      <c r="O23" s="117">
        <v>0</v>
      </c>
      <c r="P23" s="118">
        <f t="shared" si="1"/>
        <v>0</v>
      </c>
      <c r="Q23" s="128">
        <v>0</v>
      </c>
      <c r="R23" s="620">
        <f t="shared" si="2"/>
        <v>0</v>
      </c>
      <c r="S23" s="665">
        <f t="shared" si="6"/>
        <v>0</v>
      </c>
      <c r="U23" s="98">
        <v>53203010100000</v>
      </c>
      <c r="V23" s="95" t="s">
        <v>19</v>
      </c>
      <c r="W23" s="101">
        <v>0</v>
      </c>
    </row>
    <row r="24" spans="1:46" s="31" customFormat="1" ht="13.5" thickBot="1" x14ac:dyDescent="0.25">
      <c r="A24" s="867"/>
      <c r="B24" s="871"/>
      <c r="C24" s="483"/>
      <c r="D24" s="329"/>
      <c r="E24" s="484"/>
      <c r="F24" s="485" t="s">
        <v>118</v>
      </c>
      <c r="G24" s="330">
        <v>0</v>
      </c>
      <c r="H24" s="330">
        <v>0</v>
      </c>
      <c r="I24" s="486">
        <v>0</v>
      </c>
      <c r="J24" s="677">
        <f t="shared" si="4"/>
        <v>0</v>
      </c>
      <c r="K24" s="487">
        <f t="shared" si="5"/>
        <v>0</v>
      </c>
      <c r="L24" s="29"/>
      <c r="M24" s="718">
        <v>0</v>
      </c>
      <c r="N24" s="121">
        <f t="shared" si="0"/>
        <v>0</v>
      </c>
      <c r="O24" s="122">
        <v>0</v>
      </c>
      <c r="P24" s="131">
        <f t="shared" si="1"/>
        <v>0</v>
      </c>
      <c r="Q24" s="129">
        <v>0</v>
      </c>
      <c r="R24" s="121">
        <f t="shared" si="2"/>
        <v>0</v>
      </c>
      <c r="S24" s="666">
        <f t="shared" si="6"/>
        <v>0</v>
      </c>
      <c r="U24" s="98">
        <v>53203030000000</v>
      </c>
      <c r="V24" s="95" t="s">
        <v>20</v>
      </c>
      <c r="W24" s="101">
        <v>0</v>
      </c>
    </row>
    <row r="25" spans="1:46" s="31" customFormat="1" ht="12.75" customHeight="1" x14ac:dyDescent="0.2">
      <c r="A25" s="867"/>
      <c r="B25" s="872" t="s">
        <v>92</v>
      </c>
      <c r="C25" s="475" t="s">
        <v>302</v>
      </c>
      <c r="D25" s="338" t="s">
        <v>303</v>
      </c>
      <c r="E25" s="476" t="s">
        <v>304</v>
      </c>
      <c r="F25" s="695" t="s">
        <v>118</v>
      </c>
      <c r="G25" s="339">
        <f>1183712*12</f>
        <v>14204544</v>
      </c>
      <c r="H25" s="328">
        <f>101037+171709</f>
        <v>272746</v>
      </c>
      <c r="I25" s="481">
        <f>74515*2</f>
        <v>149030</v>
      </c>
      <c r="J25" s="675">
        <f t="shared" si="4"/>
        <v>14626320</v>
      </c>
      <c r="K25" s="691">
        <f t="shared" si="5"/>
        <v>16527741.599999998</v>
      </c>
      <c r="L25" s="29"/>
      <c r="M25" s="716">
        <v>0.6</v>
      </c>
      <c r="N25" s="119">
        <f t="shared" si="0"/>
        <v>9916644.959999999</v>
      </c>
      <c r="O25" s="105">
        <v>0.4</v>
      </c>
      <c r="P25" s="130">
        <f t="shared" si="1"/>
        <v>6611096.6399999997</v>
      </c>
      <c r="Q25" s="127">
        <v>0</v>
      </c>
      <c r="R25" s="619">
        <f t="shared" si="2"/>
        <v>0</v>
      </c>
      <c r="S25" s="664">
        <f t="shared" si="6"/>
        <v>1</v>
      </c>
      <c r="U25" s="98">
        <v>53204030000000</v>
      </c>
      <c r="V25" s="95" t="s">
        <v>21</v>
      </c>
      <c r="W25" s="101">
        <v>0</v>
      </c>
      <c r="AG25" s="27"/>
    </row>
    <row r="26" spans="1:46" s="31" customFormat="1" ht="12.75" customHeight="1" x14ac:dyDescent="0.2">
      <c r="A26" s="867"/>
      <c r="B26" s="873"/>
      <c r="C26" s="478"/>
      <c r="D26" s="331"/>
      <c r="E26" s="479"/>
      <c r="F26" s="480" t="s">
        <v>118</v>
      </c>
      <c r="G26" s="328">
        <v>0</v>
      </c>
      <c r="H26" s="328">
        <v>0</v>
      </c>
      <c r="I26" s="481">
        <v>0</v>
      </c>
      <c r="J26" s="676">
        <f t="shared" si="4"/>
        <v>0</v>
      </c>
      <c r="K26" s="482">
        <f t="shared" si="5"/>
        <v>0</v>
      </c>
      <c r="L26" s="29"/>
      <c r="M26" s="717">
        <v>0</v>
      </c>
      <c r="N26" s="120">
        <f t="shared" si="0"/>
        <v>0</v>
      </c>
      <c r="O26" s="117">
        <v>0</v>
      </c>
      <c r="P26" s="118">
        <f t="shared" si="1"/>
        <v>0</v>
      </c>
      <c r="Q26" s="128">
        <v>0</v>
      </c>
      <c r="R26" s="620">
        <f t="shared" si="2"/>
        <v>0</v>
      </c>
      <c r="S26" s="665">
        <f t="shared" si="6"/>
        <v>0</v>
      </c>
      <c r="U26" s="98">
        <v>53204100100001</v>
      </c>
      <c r="V26" s="95" t="s">
        <v>22</v>
      </c>
      <c r="W26" s="101">
        <v>0</v>
      </c>
      <c r="AG26" s="27"/>
    </row>
    <row r="27" spans="1:46" s="31" customFormat="1" ht="12.75" customHeight="1" x14ac:dyDescent="0.2">
      <c r="A27" s="867"/>
      <c r="B27" s="873"/>
      <c r="C27" s="478"/>
      <c r="D27" s="331"/>
      <c r="E27" s="479"/>
      <c r="F27" s="480" t="s">
        <v>118</v>
      </c>
      <c r="G27" s="328">
        <v>0</v>
      </c>
      <c r="H27" s="328">
        <v>0</v>
      </c>
      <c r="I27" s="481">
        <v>0</v>
      </c>
      <c r="J27" s="676">
        <f t="shared" si="4"/>
        <v>0</v>
      </c>
      <c r="K27" s="482">
        <f t="shared" si="5"/>
        <v>0</v>
      </c>
      <c r="L27" s="29"/>
      <c r="M27" s="717">
        <v>0</v>
      </c>
      <c r="N27" s="120">
        <f t="shared" si="0"/>
        <v>0</v>
      </c>
      <c r="O27" s="117">
        <v>0</v>
      </c>
      <c r="P27" s="118">
        <f t="shared" si="1"/>
        <v>0</v>
      </c>
      <c r="Q27" s="128">
        <v>0</v>
      </c>
      <c r="R27" s="620">
        <f t="shared" si="2"/>
        <v>0</v>
      </c>
      <c r="S27" s="665">
        <f t="shared" si="6"/>
        <v>0</v>
      </c>
      <c r="U27" s="98">
        <v>53204130100000</v>
      </c>
      <c r="V27" s="95" t="s">
        <v>23</v>
      </c>
      <c r="W27" s="101">
        <v>0</v>
      </c>
      <c r="AG27" s="27"/>
    </row>
    <row r="28" spans="1:46" s="31" customFormat="1" ht="12.75" customHeight="1" x14ac:dyDescent="0.2">
      <c r="A28" s="867"/>
      <c r="B28" s="873"/>
      <c r="C28" s="478"/>
      <c r="D28" s="331"/>
      <c r="E28" s="479"/>
      <c r="F28" s="480" t="s">
        <v>118</v>
      </c>
      <c r="G28" s="328">
        <v>0</v>
      </c>
      <c r="H28" s="328">
        <v>0</v>
      </c>
      <c r="I28" s="481">
        <v>0</v>
      </c>
      <c r="J28" s="676">
        <f t="shared" si="4"/>
        <v>0</v>
      </c>
      <c r="K28" s="482">
        <f t="shared" si="5"/>
        <v>0</v>
      </c>
      <c r="L28" s="29"/>
      <c r="M28" s="717">
        <v>0</v>
      </c>
      <c r="N28" s="120">
        <f t="shared" si="0"/>
        <v>0</v>
      </c>
      <c r="O28" s="117">
        <v>0</v>
      </c>
      <c r="P28" s="118">
        <f t="shared" si="1"/>
        <v>0</v>
      </c>
      <c r="Q28" s="128">
        <v>0</v>
      </c>
      <c r="R28" s="620">
        <f t="shared" si="2"/>
        <v>0</v>
      </c>
      <c r="S28" s="665">
        <f t="shared" si="6"/>
        <v>0</v>
      </c>
      <c r="U28" s="98">
        <v>53205010100000</v>
      </c>
      <c r="V28" s="95" t="s">
        <v>24</v>
      </c>
      <c r="W28" s="101">
        <v>1440000</v>
      </c>
      <c r="AG28" s="27"/>
    </row>
    <row r="29" spans="1:46" s="31" customFormat="1" ht="12.75" customHeight="1" x14ac:dyDescent="0.2">
      <c r="A29" s="867"/>
      <c r="B29" s="873"/>
      <c r="C29" s="478"/>
      <c r="D29" s="331"/>
      <c r="E29" s="479"/>
      <c r="F29" s="480" t="s">
        <v>118</v>
      </c>
      <c r="G29" s="328">
        <v>0</v>
      </c>
      <c r="H29" s="328">
        <v>0</v>
      </c>
      <c r="I29" s="481">
        <v>0</v>
      </c>
      <c r="J29" s="676">
        <f t="shared" si="4"/>
        <v>0</v>
      </c>
      <c r="K29" s="482">
        <f t="shared" si="5"/>
        <v>0</v>
      </c>
      <c r="L29" s="29"/>
      <c r="M29" s="717">
        <v>0</v>
      </c>
      <c r="N29" s="120">
        <f t="shared" si="0"/>
        <v>0</v>
      </c>
      <c r="O29" s="117">
        <v>0</v>
      </c>
      <c r="P29" s="118">
        <f t="shared" si="1"/>
        <v>0</v>
      </c>
      <c r="Q29" s="128">
        <v>0</v>
      </c>
      <c r="R29" s="620">
        <f t="shared" si="2"/>
        <v>0</v>
      </c>
      <c r="S29" s="665">
        <f t="shared" si="6"/>
        <v>0</v>
      </c>
      <c r="U29" s="98">
        <v>53205020100000</v>
      </c>
      <c r="V29" s="95" t="s">
        <v>25</v>
      </c>
      <c r="W29" s="101">
        <v>900000</v>
      </c>
      <c r="AG29" s="27"/>
    </row>
    <row r="30" spans="1:46" s="31" customFormat="1" ht="12.75" customHeight="1" x14ac:dyDescent="0.2">
      <c r="A30" s="867"/>
      <c r="B30" s="873"/>
      <c r="C30" s="478"/>
      <c r="D30" s="331"/>
      <c r="E30" s="479"/>
      <c r="F30" s="480" t="s">
        <v>118</v>
      </c>
      <c r="G30" s="328">
        <v>0</v>
      </c>
      <c r="H30" s="328">
        <v>0</v>
      </c>
      <c r="I30" s="481">
        <v>0</v>
      </c>
      <c r="J30" s="676">
        <f t="shared" si="4"/>
        <v>0</v>
      </c>
      <c r="K30" s="482">
        <f t="shared" si="5"/>
        <v>0</v>
      </c>
      <c r="L30" s="29"/>
      <c r="M30" s="717">
        <v>0</v>
      </c>
      <c r="N30" s="120">
        <f t="shared" si="0"/>
        <v>0</v>
      </c>
      <c r="O30" s="117">
        <v>0</v>
      </c>
      <c r="P30" s="118">
        <f t="shared" si="1"/>
        <v>0</v>
      </c>
      <c r="Q30" s="128">
        <v>0</v>
      </c>
      <c r="R30" s="620">
        <f t="shared" si="2"/>
        <v>0</v>
      </c>
      <c r="S30" s="665">
        <f t="shared" si="6"/>
        <v>0</v>
      </c>
      <c r="U30" s="98">
        <v>53205030100000</v>
      </c>
      <c r="V30" s="95" t="s">
        <v>26</v>
      </c>
      <c r="W30" s="101">
        <v>0</v>
      </c>
      <c r="AG30" s="27"/>
    </row>
    <row r="31" spans="1:46" s="31" customFormat="1" ht="12.75" customHeight="1" x14ac:dyDescent="0.2">
      <c r="A31" s="867"/>
      <c r="B31" s="873"/>
      <c r="C31" s="478"/>
      <c r="D31" s="331"/>
      <c r="E31" s="479"/>
      <c r="F31" s="480" t="s">
        <v>118</v>
      </c>
      <c r="G31" s="328">
        <v>0</v>
      </c>
      <c r="H31" s="328">
        <v>0</v>
      </c>
      <c r="I31" s="481">
        <v>0</v>
      </c>
      <c r="J31" s="676">
        <f t="shared" si="4"/>
        <v>0</v>
      </c>
      <c r="K31" s="482">
        <f t="shared" si="5"/>
        <v>0</v>
      </c>
      <c r="L31" s="29"/>
      <c r="M31" s="717">
        <v>0</v>
      </c>
      <c r="N31" s="120">
        <f t="shared" si="0"/>
        <v>0</v>
      </c>
      <c r="O31" s="117">
        <v>0</v>
      </c>
      <c r="P31" s="118">
        <f t="shared" si="1"/>
        <v>0</v>
      </c>
      <c r="Q31" s="128">
        <v>0</v>
      </c>
      <c r="R31" s="620">
        <f t="shared" si="2"/>
        <v>0</v>
      </c>
      <c r="S31" s="665">
        <f t="shared" si="6"/>
        <v>0</v>
      </c>
      <c r="U31" s="98">
        <v>53205050100000</v>
      </c>
      <c r="V31" s="95" t="s">
        <v>27</v>
      </c>
      <c r="W31" s="101">
        <v>600000</v>
      </c>
      <c r="AG31" s="27"/>
    </row>
    <row r="32" spans="1:46" s="31" customFormat="1" ht="12.75" customHeight="1" x14ac:dyDescent="0.2">
      <c r="A32" s="867"/>
      <c r="B32" s="873"/>
      <c r="C32" s="478"/>
      <c r="D32" s="331"/>
      <c r="E32" s="479"/>
      <c r="F32" s="480" t="s">
        <v>118</v>
      </c>
      <c r="G32" s="328">
        <v>0</v>
      </c>
      <c r="H32" s="328">
        <v>0</v>
      </c>
      <c r="I32" s="481">
        <v>0</v>
      </c>
      <c r="J32" s="676">
        <f t="shared" si="4"/>
        <v>0</v>
      </c>
      <c r="K32" s="482">
        <f t="shared" si="5"/>
        <v>0</v>
      </c>
      <c r="L32" s="29"/>
      <c r="M32" s="717">
        <v>0</v>
      </c>
      <c r="N32" s="120">
        <f t="shared" si="0"/>
        <v>0</v>
      </c>
      <c r="O32" s="117">
        <v>0</v>
      </c>
      <c r="P32" s="118">
        <f t="shared" si="1"/>
        <v>0</v>
      </c>
      <c r="Q32" s="128">
        <v>0</v>
      </c>
      <c r="R32" s="620">
        <f t="shared" si="2"/>
        <v>0</v>
      </c>
      <c r="S32" s="665">
        <f t="shared" si="6"/>
        <v>0</v>
      </c>
      <c r="U32" s="98">
        <v>53205060100000</v>
      </c>
      <c r="V32" s="95" t="s">
        <v>28</v>
      </c>
      <c r="W32" s="101">
        <v>0</v>
      </c>
      <c r="AG32" s="27"/>
    </row>
    <row r="33" spans="1:33" s="31" customFormat="1" ht="12.75" customHeight="1" x14ac:dyDescent="0.2">
      <c r="A33" s="867"/>
      <c r="B33" s="873"/>
      <c r="C33" s="478"/>
      <c r="D33" s="331"/>
      <c r="E33" s="479"/>
      <c r="F33" s="480" t="s">
        <v>118</v>
      </c>
      <c r="G33" s="328">
        <v>0</v>
      </c>
      <c r="H33" s="328">
        <v>0</v>
      </c>
      <c r="I33" s="481">
        <v>0</v>
      </c>
      <c r="J33" s="676">
        <f t="shared" si="4"/>
        <v>0</v>
      </c>
      <c r="K33" s="482">
        <f t="shared" si="5"/>
        <v>0</v>
      </c>
      <c r="L33" s="29"/>
      <c r="M33" s="717">
        <v>0</v>
      </c>
      <c r="N33" s="120">
        <v>0</v>
      </c>
      <c r="O33" s="117">
        <v>0</v>
      </c>
      <c r="P33" s="118">
        <f t="shared" si="1"/>
        <v>0</v>
      </c>
      <c r="Q33" s="128">
        <v>0</v>
      </c>
      <c r="R33" s="620">
        <f t="shared" si="2"/>
        <v>0</v>
      </c>
      <c r="S33" s="665">
        <f t="shared" si="6"/>
        <v>0</v>
      </c>
      <c r="U33" s="98">
        <v>53205070100000</v>
      </c>
      <c r="V33" s="95" t="s">
        <v>29</v>
      </c>
      <c r="W33" s="101">
        <v>0</v>
      </c>
      <c r="AG33" s="27"/>
    </row>
    <row r="34" spans="1:33" s="31" customFormat="1" ht="12.75" customHeight="1" thickBot="1" x14ac:dyDescent="0.25">
      <c r="A34" s="867"/>
      <c r="B34" s="874"/>
      <c r="C34" s="483"/>
      <c r="D34" s="329"/>
      <c r="E34" s="484"/>
      <c r="F34" s="485" t="s">
        <v>118</v>
      </c>
      <c r="G34" s="330">
        <v>0</v>
      </c>
      <c r="H34" s="330">
        <v>0</v>
      </c>
      <c r="I34" s="486">
        <v>0</v>
      </c>
      <c r="J34" s="677">
        <f t="shared" si="4"/>
        <v>0</v>
      </c>
      <c r="K34" s="487">
        <f t="shared" si="5"/>
        <v>0</v>
      </c>
      <c r="L34" s="29"/>
      <c r="M34" s="718">
        <v>0</v>
      </c>
      <c r="N34" s="121">
        <f t="shared" si="0"/>
        <v>0</v>
      </c>
      <c r="O34" s="122">
        <v>0</v>
      </c>
      <c r="P34" s="131">
        <f t="shared" si="1"/>
        <v>0</v>
      </c>
      <c r="Q34" s="129">
        <v>0</v>
      </c>
      <c r="R34" s="121">
        <f t="shared" si="2"/>
        <v>0</v>
      </c>
      <c r="S34" s="666">
        <f t="shared" si="6"/>
        <v>0</v>
      </c>
      <c r="U34" s="98">
        <v>53208010100000</v>
      </c>
      <c r="V34" s="95" t="s">
        <v>30</v>
      </c>
      <c r="W34" s="101">
        <v>0</v>
      </c>
      <c r="AG34" s="27"/>
    </row>
    <row r="35" spans="1:33" s="31" customFormat="1" ht="12.75" customHeight="1" x14ac:dyDescent="0.2">
      <c r="A35" s="867"/>
      <c r="B35" s="872" t="s">
        <v>91</v>
      </c>
      <c r="C35" s="475"/>
      <c r="D35" s="338"/>
      <c r="E35" s="476"/>
      <c r="F35" s="695" t="s">
        <v>118</v>
      </c>
      <c r="G35" s="339">
        <v>0</v>
      </c>
      <c r="H35" s="339">
        <v>0</v>
      </c>
      <c r="I35" s="696">
        <v>0</v>
      </c>
      <c r="J35" s="675">
        <f t="shared" si="4"/>
        <v>0</v>
      </c>
      <c r="K35" s="691">
        <f t="shared" si="5"/>
        <v>0</v>
      </c>
      <c r="L35" s="29"/>
      <c r="M35" s="716">
        <v>0</v>
      </c>
      <c r="N35" s="119">
        <f t="shared" si="0"/>
        <v>0</v>
      </c>
      <c r="O35" s="105">
        <v>0</v>
      </c>
      <c r="P35" s="130">
        <f t="shared" si="1"/>
        <v>0</v>
      </c>
      <c r="Q35" s="127">
        <v>0</v>
      </c>
      <c r="R35" s="619">
        <f t="shared" si="2"/>
        <v>0</v>
      </c>
      <c r="S35" s="664">
        <f t="shared" si="6"/>
        <v>0</v>
      </c>
      <c r="U35" s="98">
        <v>53208070100001</v>
      </c>
      <c r="V35" s="95" t="s">
        <v>31</v>
      </c>
      <c r="W35" s="101">
        <v>590000</v>
      </c>
      <c r="AG35" s="27"/>
    </row>
    <row r="36" spans="1:33" s="31" customFormat="1" ht="12.75" customHeight="1" x14ac:dyDescent="0.2">
      <c r="A36" s="867"/>
      <c r="B36" s="873"/>
      <c r="C36" s="478"/>
      <c r="D36" s="331"/>
      <c r="E36" s="479"/>
      <c r="F36" s="480" t="s">
        <v>118</v>
      </c>
      <c r="G36" s="328">
        <v>0</v>
      </c>
      <c r="H36" s="328">
        <v>0</v>
      </c>
      <c r="I36" s="481">
        <v>0</v>
      </c>
      <c r="J36" s="676">
        <f t="shared" si="4"/>
        <v>0</v>
      </c>
      <c r="K36" s="482">
        <f t="shared" si="5"/>
        <v>0</v>
      </c>
      <c r="L36" s="29"/>
      <c r="M36" s="717">
        <v>0</v>
      </c>
      <c r="N36" s="120">
        <f t="shared" si="0"/>
        <v>0</v>
      </c>
      <c r="O36" s="117">
        <v>0</v>
      </c>
      <c r="P36" s="118">
        <f t="shared" si="1"/>
        <v>0</v>
      </c>
      <c r="Q36" s="128">
        <v>0</v>
      </c>
      <c r="R36" s="620">
        <f t="shared" si="2"/>
        <v>0</v>
      </c>
      <c r="S36" s="665">
        <f t="shared" si="6"/>
        <v>0</v>
      </c>
      <c r="U36" s="98">
        <v>53208100100001</v>
      </c>
      <c r="V36" s="95" t="s">
        <v>130</v>
      </c>
      <c r="W36" s="101">
        <v>0</v>
      </c>
      <c r="AG36" s="27"/>
    </row>
    <row r="37" spans="1:33" s="31" customFormat="1" ht="12.75" customHeight="1" x14ac:dyDescent="0.2">
      <c r="A37" s="867"/>
      <c r="B37" s="873"/>
      <c r="C37" s="478"/>
      <c r="D37" s="331"/>
      <c r="E37" s="479"/>
      <c r="F37" s="480" t="s">
        <v>118</v>
      </c>
      <c r="G37" s="328">
        <v>0</v>
      </c>
      <c r="H37" s="328">
        <v>0</v>
      </c>
      <c r="I37" s="481">
        <v>0</v>
      </c>
      <c r="J37" s="676">
        <f t="shared" si="4"/>
        <v>0</v>
      </c>
      <c r="K37" s="482">
        <f t="shared" si="5"/>
        <v>0</v>
      </c>
      <c r="L37" s="29"/>
      <c r="M37" s="717">
        <v>0</v>
      </c>
      <c r="N37" s="120">
        <f t="shared" si="0"/>
        <v>0</v>
      </c>
      <c r="O37" s="117">
        <v>0</v>
      </c>
      <c r="P37" s="118">
        <f t="shared" si="1"/>
        <v>0</v>
      </c>
      <c r="Q37" s="128">
        <v>0</v>
      </c>
      <c r="R37" s="620">
        <f t="shared" si="2"/>
        <v>0</v>
      </c>
      <c r="S37" s="665">
        <f t="shared" si="6"/>
        <v>0</v>
      </c>
      <c r="U37" s="98">
        <v>53211030000000</v>
      </c>
      <c r="V37" s="95" t="s">
        <v>32</v>
      </c>
      <c r="W37" s="101">
        <v>0</v>
      </c>
      <c r="AG37" s="27"/>
    </row>
    <row r="38" spans="1:33" s="31" customFormat="1" ht="12.75" customHeight="1" x14ac:dyDescent="0.2">
      <c r="A38" s="867"/>
      <c r="B38" s="873"/>
      <c r="C38" s="478"/>
      <c r="D38" s="331"/>
      <c r="E38" s="479"/>
      <c r="F38" s="480" t="s">
        <v>118</v>
      </c>
      <c r="G38" s="328">
        <v>0</v>
      </c>
      <c r="H38" s="328">
        <v>0</v>
      </c>
      <c r="I38" s="481">
        <v>0</v>
      </c>
      <c r="J38" s="676">
        <f t="shared" si="4"/>
        <v>0</v>
      </c>
      <c r="K38" s="482">
        <f t="shared" si="5"/>
        <v>0</v>
      </c>
      <c r="L38" s="29"/>
      <c r="M38" s="717">
        <v>0</v>
      </c>
      <c r="N38" s="120">
        <f t="shared" si="0"/>
        <v>0</v>
      </c>
      <c r="O38" s="117">
        <v>0</v>
      </c>
      <c r="P38" s="118">
        <f t="shared" si="1"/>
        <v>0</v>
      </c>
      <c r="Q38" s="128">
        <v>0</v>
      </c>
      <c r="R38" s="620">
        <f t="shared" si="2"/>
        <v>0</v>
      </c>
      <c r="S38" s="665">
        <f t="shared" si="6"/>
        <v>0</v>
      </c>
      <c r="U38" s="98">
        <v>53212020100000</v>
      </c>
      <c r="V38" s="95" t="s">
        <v>98</v>
      </c>
      <c r="W38" s="101">
        <v>1400000</v>
      </c>
      <c r="AG38" s="27"/>
    </row>
    <row r="39" spans="1:33" s="31" customFormat="1" ht="12.75" customHeight="1" thickBot="1" x14ac:dyDescent="0.25">
      <c r="A39" s="867"/>
      <c r="B39" s="874"/>
      <c r="C39" s="483"/>
      <c r="D39" s="329"/>
      <c r="E39" s="484"/>
      <c r="F39" s="485" t="s">
        <v>118</v>
      </c>
      <c r="G39" s="330">
        <v>0</v>
      </c>
      <c r="H39" s="330">
        <v>0</v>
      </c>
      <c r="I39" s="486">
        <v>0</v>
      </c>
      <c r="J39" s="687">
        <f t="shared" si="4"/>
        <v>0</v>
      </c>
      <c r="K39" s="692">
        <f t="shared" si="5"/>
        <v>0</v>
      </c>
      <c r="L39" s="29"/>
      <c r="M39" s="718">
        <v>0</v>
      </c>
      <c r="N39" s="121">
        <f t="shared" si="0"/>
        <v>0</v>
      </c>
      <c r="O39" s="122">
        <v>0</v>
      </c>
      <c r="P39" s="131">
        <f t="shared" si="1"/>
        <v>0</v>
      </c>
      <c r="Q39" s="129">
        <v>0</v>
      </c>
      <c r="R39" s="121">
        <f t="shared" si="2"/>
        <v>0</v>
      </c>
      <c r="S39" s="666">
        <f t="shared" si="6"/>
        <v>0</v>
      </c>
      <c r="U39" s="98">
        <v>53214020000000</v>
      </c>
      <c r="V39" s="95" t="s">
        <v>33</v>
      </c>
      <c r="W39" s="101">
        <v>0</v>
      </c>
      <c r="AG39" s="27"/>
    </row>
    <row r="40" spans="1:33" s="31" customFormat="1" ht="12.75" customHeight="1" x14ac:dyDescent="0.2">
      <c r="A40" s="867"/>
      <c r="B40" s="875" t="s">
        <v>119</v>
      </c>
      <c r="C40" s="679" t="s">
        <v>305</v>
      </c>
      <c r="D40" s="680" t="s">
        <v>306</v>
      </c>
      <c r="E40" s="681" t="s">
        <v>326</v>
      </c>
      <c r="F40" s="682" t="s">
        <v>118</v>
      </c>
      <c r="G40" s="339">
        <v>2708292</v>
      </c>
      <c r="H40" s="328">
        <v>272746</v>
      </c>
      <c r="I40" s="481">
        <v>148414</v>
      </c>
      <c r="J40" s="688">
        <f t="shared" ref="J40:J61" si="8">SUM(G40:I40)</f>
        <v>3129452</v>
      </c>
      <c r="K40" s="477">
        <f t="shared" si="5"/>
        <v>3536280.76</v>
      </c>
      <c r="L40" s="29"/>
      <c r="M40" s="716">
        <v>0.5</v>
      </c>
      <c r="N40" s="119">
        <f t="shared" si="0"/>
        <v>1768140.38</v>
      </c>
      <c r="O40" s="105">
        <v>0.5</v>
      </c>
      <c r="P40" s="130">
        <f t="shared" si="1"/>
        <v>1768140.38</v>
      </c>
      <c r="Q40" s="127">
        <v>0</v>
      </c>
      <c r="R40" s="619">
        <f t="shared" si="2"/>
        <v>0</v>
      </c>
      <c r="S40" s="664">
        <f t="shared" si="6"/>
        <v>1</v>
      </c>
      <c r="U40" s="96"/>
      <c r="V40" s="93" t="s">
        <v>34</v>
      </c>
      <c r="W40" s="99">
        <f>SUM(W41,W46,W49,W60,W70,W78)</f>
        <v>6200000</v>
      </c>
      <c r="AG40" s="27"/>
    </row>
    <row r="41" spans="1:33" s="31" customFormat="1" ht="12.75" customHeight="1" x14ac:dyDescent="0.2">
      <c r="A41" s="867"/>
      <c r="B41" s="876"/>
      <c r="C41" s="683" t="s">
        <v>305</v>
      </c>
      <c r="D41" s="684" t="s">
        <v>307</v>
      </c>
      <c r="E41" s="685" t="s">
        <v>327</v>
      </c>
      <c r="F41" s="697" t="s">
        <v>118</v>
      </c>
      <c r="G41" s="328">
        <v>3700146</v>
      </c>
      <c r="H41" s="328">
        <v>272746</v>
      </c>
      <c r="I41" s="481">
        <v>149030</v>
      </c>
      <c r="J41" s="689">
        <f t="shared" ref="J41:J48" si="9">SUM(G41:I41)</f>
        <v>4121922</v>
      </c>
      <c r="K41" s="482">
        <f t="shared" si="5"/>
        <v>4657771.8599999994</v>
      </c>
      <c r="L41" s="29"/>
      <c r="M41" s="717">
        <v>0.7</v>
      </c>
      <c r="N41" s="120">
        <f t="shared" si="0"/>
        <v>3260440.3019999992</v>
      </c>
      <c r="O41" s="117">
        <v>0.3</v>
      </c>
      <c r="P41" s="118">
        <f t="shared" si="1"/>
        <v>1397331.5579999997</v>
      </c>
      <c r="Q41" s="128">
        <v>0</v>
      </c>
      <c r="R41" s="620">
        <f t="shared" si="2"/>
        <v>0</v>
      </c>
      <c r="S41" s="665">
        <f t="shared" si="6"/>
        <v>1</v>
      </c>
      <c r="U41" s="97"/>
      <c r="V41" s="94" t="s">
        <v>35</v>
      </c>
      <c r="W41" s="100">
        <f>SUM(W42:W45)</f>
        <v>0</v>
      </c>
      <c r="AG41" s="27"/>
    </row>
    <row r="42" spans="1:33" s="31" customFormat="1" ht="12.75" customHeight="1" x14ac:dyDescent="0.2">
      <c r="A42" s="867"/>
      <c r="B42" s="876"/>
      <c r="C42" s="683" t="s">
        <v>308</v>
      </c>
      <c r="D42" s="684" t="s">
        <v>309</v>
      </c>
      <c r="E42" s="685" t="s">
        <v>328</v>
      </c>
      <c r="F42" s="697" t="s">
        <v>118</v>
      </c>
      <c r="G42" s="328">
        <v>1383181.2</v>
      </c>
      <c r="H42" s="328">
        <v>272746</v>
      </c>
      <c r="I42" s="481">
        <v>148414</v>
      </c>
      <c r="J42" s="689">
        <f t="shared" si="9"/>
        <v>1804341.2</v>
      </c>
      <c r="K42" s="482">
        <f t="shared" si="5"/>
        <v>2038905.5559999999</v>
      </c>
      <c r="L42" s="29"/>
      <c r="M42" s="717">
        <v>0.8</v>
      </c>
      <c r="N42" s="120">
        <f t="shared" si="0"/>
        <v>1631124.4447999999</v>
      </c>
      <c r="O42" s="117">
        <v>0.2</v>
      </c>
      <c r="P42" s="118">
        <f t="shared" si="1"/>
        <v>407781.11119999998</v>
      </c>
      <c r="Q42" s="128">
        <v>0</v>
      </c>
      <c r="R42" s="620">
        <f t="shared" si="2"/>
        <v>0</v>
      </c>
      <c r="S42" s="665">
        <f t="shared" si="6"/>
        <v>1</v>
      </c>
      <c r="U42" s="98">
        <v>53202020100000</v>
      </c>
      <c r="V42" s="95" t="s">
        <v>39</v>
      </c>
      <c r="W42" s="101">
        <v>0</v>
      </c>
      <c r="AG42" s="27"/>
    </row>
    <row r="43" spans="1:33" s="31" customFormat="1" ht="12.75" customHeight="1" x14ac:dyDescent="0.2">
      <c r="A43" s="867"/>
      <c r="B43" s="876"/>
      <c r="C43" s="683"/>
      <c r="D43" s="684"/>
      <c r="E43" s="685"/>
      <c r="F43" s="697" t="s">
        <v>118</v>
      </c>
      <c r="G43" s="328">
        <v>0</v>
      </c>
      <c r="H43" s="328">
        <v>0</v>
      </c>
      <c r="I43" s="481">
        <v>0</v>
      </c>
      <c r="J43" s="689">
        <f t="shared" si="9"/>
        <v>0</v>
      </c>
      <c r="K43" s="482">
        <f t="shared" si="5"/>
        <v>0</v>
      </c>
      <c r="L43" s="29"/>
      <c r="M43" s="717">
        <v>0</v>
      </c>
      <c r="N43" s="120">
        <f t="shared" si="0"/>
        <v>0</v>
      </c>
      <c r="O43" s="117">
        <v>0</v>
      </c>
      <c r="P43" s="118">
        <f t="shared" si="1"/>
        <v>0</v>
      </c>
      <c r="Q43" s="128">
        <v>0</v>
      </c>
      <c r="R43" s="620">
        <f t="shared" si="2"/>
        <v>0</v>
      </c>
      <c r="S43" s="665">
        <f t="shared" si="6"/>
        <v>0</v>
      </c>
      <c r="U43" s="98">
        <v>53202030000000</v>
      </c>
      <c r="V43" s="95" t="s">
        <v>40</v>
      </c>
      <c r="W43" s="101">
        <v>0</v>
      </c>
      <c r="AG43" s="27"/>
    </row>
    <row r="44" spans="1:33" s="31" customFormat="1" ht="12.75" customHeight="1" x14ac:dyDescent="0.2">
      <c r="A44" s="867"/>
      <c r="B44" s="876"/>
      <c r="C44" s="683"/>
      <c r="D44" s="684"/>
      <c r="E44" s="685"/>
      <c r="F44" s="68" t="s">
        <v>118</v>
      </c>
      <c r="G44" s="328">
        <v>0</v>
      </c>
      <c r="H44" s="328">
        <v>0</v>
      </c>
      <c r="I44" s="481">
        <v>0</v>
      </c>
      <c r="J44" s="689">
        <f t="shared" si="9"/>
        <v>0</v>
      </c>
      <c r="K44" s="482">
        <f t="shared" si="5"/>
        <v>0</v>
      </c>
      <c r="L44" s="29"/>
      <c r="M44" s="717">
        <v>0</v>
      </c>
      <c r="N44" s="120">
        <f t="shared" si="0"/>
        <v>0</v>
      </c>
      <c r="O44" s="117">
        <v>0</v>
      </c>
      <c r="P44" s="118">
        <f t="shared" si="1"/>
        <v>0</v>
      </c>
      <c r="Q44" s="128">
        <v>0</v>
      </c>
      <c r="R44" s="620">
        <f t="shared" si="2"/>
        <v>0</v>
      </c>
      <c r="S44" s="665">
        <f t="shared" si="6"/>
        <v>0</v>
      </c>
      <c r="U44" s="98">
        <v>53211020000000</v>
      </c>
      <c r="V44" s="95" t="s">
        <v>41</v>
      </c>
      <c r="W44" s="101">
        <v>0</v>
      </c>
      <c r="AG44" s="27"/>
    </row>
    <row r="45" spans="1:33" s="31" customFormat="1" ht="12.75" customHeight="1" x14ac:dyDescent="0.2">
      <c r="A45" s="867"/>
      <c r="B45" s="876"/>
      <c r="C45" s="683"/>
      <c r="D45" s="684"/>
      <c r="E45" s="685"/>
      <c r="F45" s="68" t="s">
        <v>118</v>
      </c>
      <c r="G45" s="328">
        <v>0</v>
      </c>
      <c r="H45" s="328">
        <v>0</v>
      </c>
      <c r="I45" s="481">
        <v>0</v>
      </c>
      <c r="J45" s="689">
        <f t="shared" si="9"/>
        <v>0</v>
      </c>
      <c r="K45" s="482">
        <f t="shared" si="5"/>
        <v>0</v>
      </c>
      <c r="L45" s="29"/>
      <c r="M45" s="717">
        <v>0</v>
      </c>
      <c r="N45" s="120">
        <f t="shared" si="0"/>
        <v>0</v>
      </c>
      <c r="O45" s="117">
        <v>0</v>
      </c>
      <c r="P45" s="118">
        <f t="shared" si="1"/>
        <v>0</v>
      </c>
      <c r="Q45" s="128">
        <v>0</v>
      </c>
      <c r="R45" s="620">
        <f t="shared" si="2"/>
        <v>0</v>
      </c>
      <c r="S45" s="665">
        <f t="shared" si="6"/>
        <v>0</v>
      </c>
      <c r="U45" s="98">
        <v>53101004030000</v>
      </c>
      <c r="V45" s="95" t="s">
        <v>38</v>
      </c>
      <c r="W45" s="101">
        <v>0</v>
      </c>
      <c r="AG45" s="27"/>
    </row>
    <row r="46" spans="1:33" s="31" customFormat="1" ht="12.75" customHeight="1" x14ac:dyDescent="0.2">
      <c r="A46" s="867"/>
      <c r="B46" s="876"/>
      <c r="C46" s="683"/>
      <c r="D46" s="684"/>
      <c r="E46" s="685"/>
      <c r="F46" s="68" t="s">
        <v>118</v>
      </c>
      <c r="G46" s="328">
        <v>0</v>
      </c>
      <c r="H46" s="328">
        <v>0</v>
      </c>
      <c r="I46" s="481">
        <v>0</v>
      </c>
      <c r="J46" s="689">
        <f t="shared" si="9"/>
        <v>0</v>
      </c>
      <c r="K46" s="482">
        <f t="shared" si="5"/>
        <v>0</v>
      </c>
      <c r="L46" s="29"/>
      <c r="M46" s="717">
        <v>0</v>
      </c>
      <c r="N46" s="120">
        <f t="shared" si="0"/>
        <v>0</v>
      </c>
      <c r="O46" s="117">
        <v>0</v>
      </c>
      <c r="P46" s="118">
        <f t="shared" si="1"/>
        <v>0</v>
      </c>
      <c r="Q46" s="128">
        <v>0</v>
      </c>
      <c r="R46" s="620">
        <f t="shared" si="2"/>
        <v>0</v>
      </c>
      <c r="S46" s="665">
        <f t="shared" si="6"/>
        <v>0</v>
      </c>
      <c r="U46" s="97"/>
      <c r="V46" s="94" t="s">
        <v>42</v>
      </c>
      <c r="W46" s="100">
        <f>SUM(W47:W48)</f>
        <v>0</v>
      </c>
      <c r="AG46" s="27"/>
    </row>
    <row r="47" spans="1:33" s="31" customFormat="1" ht="12.75" customHeight="1" x14ac:dyDescent="0.2">
      <c r="A47" s="867"/>
      <c r="B47" s="876"/>
      <c r="C47" s="683"/>
      <c r="D47" s="684"/>
      <c r="E47" s="685"/>
      <c r="F47" s="68" t="s">
        <v>118</v>
      </c>
      <c r="G47" s="328">
        <v>0</v>
      </c>
      <c r="H47" s="328">
        <v>0</v>
      </c>
      <c r="I47" s="481">
        <v>0</v>
      </c>
      <c r="J47" s="689">
        <f t="shared" si="9"/>
        <v>0</v>
      </c>
      <c r="K47" s="482">
        <f t="shared" si="5"/>
        <v>0</v>
      </c>
      <c r="L47" s="29"/>
      <c r="M47" s="717">
        <v>0</v>
      </c>
      <c r="N47" s="120">
        <f t="shared" si="0"/>
        <v>0</v>
      </c>
      <c r="O47" s="117">
        <v>0</v>
      </c>
      <c r="P47" s="118">
        <f t="shared" si="1"/>
        <v>0</v>
      </c>
      <c r="Q47" s="128">
        <v>0</v>
      </c>
      <c r="R47" s="620">
        <f t="shared" si="2"/>
        <v>0</v>
      </c>
      <c r="S47" s="665">
        <f t="shared" si="6"/>
        <v>0</v>
      </c>
      <c r="U47" s="98">
        <v>53205080000000</v>
      </c>
      <c r="V47" s="95" t="s">
        <v>43</v>
      </c>
      <c r="W47" s="101">
        <v>0</v>
      </c>
      <c r="AG47" s="27"/>
    </row>
    <row r="48" spans="1:33" s="31" customFormat="1" ht="12.75" customHeight="1" x14ac:dyDescent="0.2">
      <c r="A48" s="867"/>
      <c r="B48" s="876"/>
      <c r="C48" s="683"/>
      <c r="D48" s="684"/>
      <c r="E48" s="685"/>
      <c r="F48" s="68" t="s">
        <v>118</v>
      </c>
      <c r="G48" s="328">
        <v>0</v>
      </c>
      <c r="H48" s="328">
        <v>0</v>
      </c>
      <c r="I48" s="481">
        <v>0</v>
      </c>
      <c r="J48" s="689">
        <f t="shared" si="9"/>
        <v>0</v>
      </c>
      <c r="K48" s="482">
        <f t="shared" si="5"/>
        <v>0</v>
      </c>
      <c r="L48" s="29"/>
      <c r="M48" s="717">
        <v>0</v>
      </c>
      <c r="N48" s="120">
        <f t="shared" si="0"/>
        <v>0</v>
      </c>
      <c r="O48" s="117">
        <v>0</v>
      </c>
      <c r="P48" s="118">
        <f t="shared" si="1"/>
        <v>0</v>
      </c>
      <c r="Q48" s="128">
        <v>0</v>
      </c>
      <c r="R48" s="620">
        <f t="shared" si="2"/>
        <v>0</v>
      </c>
      <c r="S48" s="665">
        <f t="shared" si="6"/>
        <v>0</v>
      </c>
      <c r="U48" s="98">
        <v>53205990000000</v>
      </c>
      <c r="V48" s="95" t="s">
        <v>44</v>
      </c>
      <c r="W48" s="101">
        <v>0</v>
      </c>
      <c r="AG48" s="27"/>
    </row>
    <row r="49" spans="1:33" s="31" customFormat="1" ht="12.75" customHeight="1" x14ac:dyDescent="0.2">
      <c r="A49" s="867"/>
      <c r="B49" s="877"/>
      <c r="C49" s="683"/>
      <c r="D49" s="684"/>
      <c r="E49" s="685"/>
      <c r="F49" s="68" t="s">
        <v>118</v>
      </c>
      <c r="G49" s="328">
        <v>0</v>
      </c>
      <c r="H49" s="328">
        <v>0</v>
      </c>
      <c r="I49" s="481">
        <v>0</v>
      </c>
      <c r="J49" s="689">
        <f t="shared" si="8"/>
        <v>0</v>
      </c>
      <c r="K49" s="482">
        <f t="shared" si="5"/>
        <v>0</v>
      </c>
      <c r="L49" s="29"/>
      <c r="M49" s="717">
        <v>0</v>
      </c>
      <c r="N49" s="120">
        <f t="shared" si="0"/>
        <v>0</v>
      </c>
      <c r="O49" s="117">
        <v>0</v>
      </c>
      <c r="P49" s="118">
        <f t="shared" si="1"/>
        <v>0</v>
      </c>
      <c r="Q49" s="128">
        <v>0</v>
      </c>
      <c r="R49" s="620">
        <f t="shared" si="2"/>
        <v>0</v>
      </c>
      <c r="S49" s="665">
        <f t="shared" si="6"/>
        <v>0</v>
      </c>
      <c r="U49" s="97"/>
      <c r="V49" s="94" t="s">
        <v>45</v>
      </c>
      <c r="W49" s="100">
        <f>SUM(W50:W59)</f>
        <v>5000000</v>
      </c>
      <c r="AG49" s="27"/>
    </row>
    <row r="50" spans="1:33" s="31" customFormat="1" ht="12.75" customHeight="1" x14ac:dyDescent="0.2">
      <c r="A50" s="867"/>
      <c r="B50" s="876"/>
      <c r="C50" s="683"/>
      <c r="D50" s="684"/>
      <c r="E50" s="685"/>
      <c r="F50" s="68" t="s">
        <v>118</v>
      </c>
      <c r="G50" s="328">
        <v>0</v>
      </c>
      <c r="H50" s="328">
        <v>0</v>
      </c>
      <c r="I50" s="481">
        <v>0</v>
      </c>
      <c r="J50" s="689">
        <f t="shared" ref="J50:J53" si="10">SUM(G50:I50)</f>
        <v>0</v>
      </c>
      <c r="K50" s="482">
        <f t="shared" si="5"/>
        <v>0</v>
      </c>
      <c r="L50" s="29"/>
      <c r="M50" s="717">
        <v>0</v>
      </c>
      <c r="N50" s="120">
        <f t="shared" si="0"/>
        <v>0</v>
      </c>
      <c r="O50" s="117">
        <v>0</v>
      </c>
      <c r="P50" s="118">
        <f t="shared" si="1"/>
        <v>0</v>
      </c>
      <c r="Q50" s="128">
        <v>0</v>
      </c>
      <c r="R50" s="620">
        <f t="shared" si="2"/>
        <v>0</v>
      </c>
      <c r="S50" s="665">
        <f t="shared" si="6"/>
        <v>0</v>
      </c>
      <c r="U50" s="98">
        <v>53203010200000</v>
      </c>
      <c r="V50" s="95" t="s">
        <v>46</v>
      </c>
      <c r="W50" s="101">
        <v>700000</v>
      </c>
      <c r="AG50" s="27"/>
    </row>
    <row r="51" spans="1:33" s="31" customFormat="1" ht="12.75" customHeight="1" x14ac:dyDescent="0.2">
      <c r="A51" s="867"/>
      <c r="B51" s="876"/>
      <c r="C51" s="683"/>
      <c r="D51" s="684"/>
      <c r="E51" s="685"/>
      <c r="F51" s="68" t="s">
        <v>118</v>
      </c>
      <c r="G51" s="328">
        <v>0</v>
      </c>
      <c r="H51" s="328">
        <v>0</v>
      </c>
      <c r="I51" s="481">
        <v>0</v>
      </c>
      <c r="J51" s="689">
        <f t="shared" si="10"/>
        <v>0</v>
      </c>
      <c r="K51" s="482">
        <f t="shared" si="5"/>
        <v>0</v>
      </c>
      <c r="L51" s="29"/>
      <c r="M51" s="717">
        <v>0</v>
      </c>
      <c r="N51" s="120">
        <f t="shared" si="0"/>
        <v>0</v>
      </c>
      <c r="O51" s="117">
        <v>0</v>
      </c>
      <c r="P51" s="118">
        <f t="shared" si="1"/>
        <v>0</v>
      </c>
      <c r="Q51" s="128">
        <v>0</v>
      </c>
      <c r="R51" s="620">
        <f t="shared" si="2"/>
        <v>0</v>
      </c>
      <c r="S51" s="665">
        <f t="shared" si="6"/>
        <v>0</v>
      </c>
      <c r="U51" s="98">
        <v>53204010000000</v>
      </c>
      <c r="V51" s="95" t="s">
        <v>47</v>
      </c>
      <c r="W51" s="101">
        <v>1900000</v>
      </c>
      <c r="AG51" s="27"/>
    </row>
    <row r="52" spans="1:33" s="31" customFormat="1" ht="12.75" customHeight="1" x14ac:dyDescent="0.2">
      <c r="A52" s="867"/>
      <c r="B52" s="876"/>
      <c r="C52" s="683"/>
      <c r="D52" s="684"/>
      <c r="E52" s="685"/>
      <c r="F52" s="68" t="s">
        <v>118</v>
      </c>
      <c r="G52" s="328">
        <v>0</v>
      </c>
      <c r="H52" s="328">
        <v>0</v>
      </c>
      <c r="I52" s="481">
        <v>0</v>
      </c>
      <c r="J52" s="689">
        <f t="shared" si="10"/>
        <v>0</v>
      </c>
      <c r="K52" s="482">
        <f t="shared" si="5"/>
        <v>0</v>
      </c>
      <c r="L52" s="29"/>
      <c r="M52" s="717">
        <v>0</v>
      </c>
      <c r="N52" s="120">
        <f t="shared" si="0"/>
        <v>0</v>
      </c>
      <c r="O52" s="117">
        <v>0</v>
      </c>
      <c r="P52" s="118">
        <f t="shared" si="1"/>
        <v>0</v>
      </c>
      <c r="Q52" s="128">
        <v>0</v>
      </c>
      <c r="R52" s="620">
        <f t="shared" si="2"/>
        <v>0</v>
      </c>
      <c r="S52" s="665">
        <f t="shared" si="6"/>
        <v>0</v>
      </c>
      <c r="U52" s="98">
        <v>53204040200000</v>
      </c>
      <c r="V52" s="95" t="s">
        <v>48</v>
      </c>
      <c r="W52" s="101">
        <v>0</v>
      </c>
      <c r="AG52" s="27"/>
    </row>
    <row r="53" spans="1:33" s="31" customFormat="1" ht="12.75" customHeight="1" x14ac:dyDescent="0.2">
      <c r="A53" s="867"/>
      <c r="B53" s="876"/>
      <c r="C53" s="683"/>
      <c r="D53" s="684"/>
      <c r="E53" s="685"/>
      <c r="F53" s="68" t="s">
        <v>118</v>
      </c>
      <c r="G53" s="328">
        <v>0</v>
      </c>
      <c r="H53" s="328">
        <v>0</v>
      </c>
      <c r="I53" s="481">
        <v>0</v>
      </c>
      <c r="J53" s="689">
        <f t="shared" si="10"/>
        <v>0</v>
      </c>
      <c r="K53" s="482">
        <f t="shared" si="5"/>
        <v>0</v>
      </c>
      <c r="L53" s="29"/>
      <c r="M53" s="717">
        <v>0</v>
      </c>
      <c r="N53" s="120">
        <f t="shared" si="0"/>
        <v>0</v>
      </c>
      <c r="O53" s="117">
        <v>0</v>
      </c>
      <c r="P53" s="118">
        <f t="shared" si="1"/>
        <v>0</v>
      </c>
      <c r="Q53" s="128">
        <v>0</v>
      </c>
      <c r="R53" s="620">
        <f t="shared" si="2"/>
        <v>0</v>
      </c>
      <c r="S53" s="665">
        <f t="shared" si="6"/>
        <v>0</v>
      </c>
      <c r="U53" s="98">
        <v>53204060000000</v>
      </c>
      <c r="V53" s="95" t="s">
        <v>49</v>
      </c>
      <c r="W53" s="101">
        <v>0</v>
      </c>
      <c r="AG53" s="27"/>
    </row>
    <row r="54" spans="1:33" s="31" customFormat="1" ht="12.75" customHeight="1" x14ac:dyDescent="0.2">
      <c r="A54" s="867"/>
      <c r="B54" s="877"/>
      <c r="C54" s="683"/>
      <c r="D54" s="684"/>
      <c r="E54" s="685"/>
      <c r="F54" s="68" t="s">
        <v>118</v>
      </c>
      <c r="G54" s="328">
        <v>0</v>
      </c>
      <c r="H54" s="328">
        <v>0</v>
      </c>
      <c r="I54" s="481">
        <v>0</v>
      </c>
      <c r="J54" s="689">
        <f t="shared" si="8"/>
        <v>0</v>
      </c>
      <c r="K54" s="482">
        <f t="shared" si="5"/>
        <v>0</v>
      </c>
      <c r="L54" s="29"/>
      <c r="M54" s="717">
        <v>0</v>
      </c>
      <c r="N54" s="120">
        <f t="shared" si="0"/>
        <v>0</v>
      </c>
      <c r="O54" s="117">
        <v>0</v>
      </c>
      <c r="P54" s="118">
        <f t="shared" si="1"/>
        <v>0</v>
      </c>
      <c r="Q54" s="128">
        <v>0</v>
      </c>
      <c r="R54" s="620">
        <f t="shared" si="2"/>
        <v>0</v>
      </c>
      <c r="S54" s="665">
        <f t="shared" si="6"/>
        <v>0</v>
      </c>
      <c r="U54" s="98">
        <v>53204070000000</v>
      </c>
      <c r="V54" s="95" t="s">
        <v>50</v>
      </c>
      <c r="W54" s="101">
        <v>2200000</v>
      </c>
      <c r="AG54" s="27"/>
    </row>
    <row r="55" spans="1:33" s="31" customFormat="1" ht="12.75" customHeight="1" x14ac:dyDescent="0.2">
      <c r="A55" s="867"/>
      <c r="B55" s="877"/>
      <c r="C55" s="683"/>
      <c r="D55" s="684"/>
      <c r="E55" s="685"/>
      <c r="F55" s="68" t="s">
        <v>118</v>
      </c>
      <c r="G55" s="328">
        <v>0</v>
      </c>
      <c r="H55" s="328">
        <v>0</v>
      </c>
      <c r="I55" s="481">
        <v>0</v>
      </c>
      <c r="J55" s="689">
        <f t="shared" si="8"/>
        <v>0</v>
      </c>
      <c r="K55" s="482">
        <f t="shared" si="5"/>
        <v>0</v>
      </c>
      <c r="L55" s="29"/>
      <c r="M55" s="717">
        <v>0</v>
      </c>
      <c r="N55" s="120">
        <f t="shared" si="0"/>
        <v>0</v>
      </c>
      <c r="O55" s="117">
        <v>0</v>
      </c>
      <c r="P55" s="118">
        <f t="shared" si="1"/>
        <v>0</v>
      </c>
      <c r="Q55" s="128">
        <v>0</v>
      </c>
      <c r="R55" s="620">
        <f t="shared" si="2"/>
        <v>0</v>
      </c>
      <c r="S55" s="665">
        <f t="shared" si="6"/>
        <v>0</v>
      </c>
      <c r="U55" s="98">
        <v>53204080000000</v>
      </c>
      <c r="V55" s="95" t="s">
        <v>51</v>
      </c>
      <c r="W55" s="101">
        <v>0</v>
      </c>
      <c r="AG55" s="27"/>
    </row>
    <row r="56" spans="1:33" s="31" customFormat="1" ht="12.75" customHeight="1" x14ac:dyDescent="0.2">
      <c r="A56" s="867"/>
      <c r="B56" s="877"/>
      <c r="C56" s="683"/>
      <c r="D56" s="684"/>
      <c r="E56" s="685"/>
      <c r="F56" s="68" t="s">
        <v>118</v>
      </c>
      <c r="G56" s="328">
        <v>0</v>
      </c>
      <c r="H56" s="328">
        <v>0</v>
      </c>
      <c r="I56" s="481">
        <v>0</v>
      </c>
      <c r="J56" s="689">
        <f t="shared" si="8"/>
        <v>0</v>
      </c>
      <c r="K56" s="482">
        <f t="shared" si="5"/>
        <v>0</v>
      </c>
      <c r="L56" s="29"/>
      <c r="M56" s="717">
        <v>0</v>
      </c>
      <c r="N56" s="120">
        <f t="shared" si="0"/>
        <v>0</v>
      </c>
      <c r="O56" s="117">
        <v>0</v>
      </c>
      <c r="P56" s="118">
        <f t="shared" si="1"/>
        <v>0</v>
      </c>
      <c r="Q56" s="128">
        <v>0</v>
      </c>
      <c r="R56" s="620">
        <f t="shared" si="2"/>
        <v>0</v>
      </c>
      <c r="S56" s="665">
        <f t="shared" si="6"/>
        <v>0</v>
      </c>
      <c r="U56" s="98">
        <v>53214010000000</v>
      </c>
      <c r="V56" s="95" t="s">
        <v>52</v>
      </c>
      <c r="W56" s="101">
        <v>0</v>
      </c>
      <c r="AG56" s="27"/>
    </row>
    <row r="57" spans="1:33" s="31" customFormat="1" ht="12.75" customHeight="1" x14ac:dyDescent="0.2">
      <c r="A57" s="867"/>
      <c r="B57" s="877"/>
      <c r="C57" s="683"/>
      <c r="D57" s="684"/>
      <c r="E57" s="685"/>
      <c r="F57" s="68" t="s">
        <v>118</v>
      </c>
      <c r="G57" s="328">
        <v>0</v>
      </c>
      <c r="H57" s="328">
        <v>0</v>
      </c>
      <c r="I57" s="481">
        <v>0</v>
      </c>
      <c r="J57" s="689">
        <f t="shared" si="8"/>
        <v>0</v>
      </c>
      <c r="K57" s="482">
        <f t="shared" si="5"/>
        <v>0</v>
      </c>
      <c r="L57" s="29"/>
      <c r="M57" s="717">
        <v>0</v>
      </c>
      <c r="N57" s="120">
        <f t="shared" si="0"/>
        <v>0</v>
      </c>
      <c r="O57" s="117">
        <v>0</v>
      </c>
      <c r="P57" s="118">
        <f t="shared" si="1"/>
        <v>0</v>
      </c>
      <c r="Q57" s="128">
        <v>0</v>
      </c>
      <c r="R57" s="620">
        <f t="shared" si="2"/>
        <v>0</v>
      </c>
      <c r="S57" s="665">
        <f t="shared" si="6"/>
        <v>0</v>
      </c>
      <c r="U57" s="98">
        <v>53214040000000</v>
      </c>
      <c r="V57" s="95" t="s">
        <v>131</v>
      </c>
      <c r="W57" s="101">
        <v>200000</v>
      </c>
      <c r="AG57" s="27"/>
    </row>
    <row r="58" spans="1:33" s="31" customFormat="1" ht="12.75" customHeight="1" x14ac:dyDescent="0.2">
      <c r="A58" s="867"/>
      <c r="B58" s="877"/>
      <c r="C58" s="683"/>
      <c r="D58" s="684"/>
      <c r="E58" s="685"/>
      <c r="F58" s="68" t="s">
        <v>118</v>
      </c>
      <c r="G58" s="328">
        <v>0</v>
      </c>
      <c r="H58" s="328">
        <v>0</v>
      </c>
      <c r="I58" s="481">
        <v>0</v>
      </c>
      <c r="J58" s="689">
        <f t="shared" si="8"/>
        <v>0</v>
      </c>
      <c r="K58" s="482">
        <f t="shared" si="5"/>
        <v>0</v>
      </c>
      <c r="L58" s="29"/>
      <c r="M58" s="717">
        <v>0</v>
      </c>
      <c r="N58" s="120">
        <f t="shared" si="0"/>
        <v>0</v>
      </c>
      <c r="O58" s="117">
        <v>0</v>
      </c>
      <c r="P58" s="118">
        <f t="shared" si="1"/>
        <v>0</v>
      </c>
      <c r="Q58" s="128">
        <v>0</v>
      </c>
      <c r="R58" s="620">
        <f t="shared" si="2"/>
        <v>0</v>
      </c>
      <c r="S58" s="665">
        <f t="shared" si="6"/>
        <v>0</v>
      </c>
      <c r="U58" s="98">
        <v>55201010100004</v>
      </c>
      <c r="V58" s="95" t="s">
        <v>53</v>
      </c>
      <c r="W58" s="101">
        <v>0</v>
      </c>
      <c r="AG58" s="27"/>
    </row>
    <row r="59" spans="1:33" s="31" customFormat="1" ht="12.75" customHeight="1" x14ac:dyDescent="0.2">
      <c r="A59" s="867"/>
      <c r="B59" s="877"/>
      <c r="C59" s="683"/>
      <c r="D59" s="684"/>
      <c r="E59" s="685"/>
      <c r="F59" s="68" t="s">
        <v>118</v>
      </c>
      <c r="G59" s="328">
        <v>0</v>
      </c>
      <c r="H59" s="328">
        <v>0</v>
      </c>
      <c r="I59" s="481">
        <v>0</v>
      </c>
      <c r="J59" s="689">
        <f t="shared" si="8"/>
        <v>0</v>
      </c>
      <c r="K59" s="482">
        <f t="shared" si="5"/>
        <v>0</v>
      </c>
      <c r="L59" s="29"/>
      <c r="M59" s="717">
        <v>0</v>
      </c>
      <c r="N59" s="120">
        <f t="shared" si="0"/>
        <v>0</v>
      </c>
      <c r="O59" s="117">
        <v>0</v>
      </c>
      <c r="P59" s="118">
        <f t="shared" si="1"/>
        <v>0</v>
      </c>
      <c r="Q59" s="128">
        <v>0</v>
      </c>
      <c r="R59" s="620">
        <f t="shared" si="2"/>
        <v>0</v>
      </c>
      <c r="S59" s="665">
        <f t="shared" si="6"/>
        <v>0</v>
      </c>
      <c r="U59" s="98">
        <v>55201010100005</v>
      </c>
      <c r="V59" s="95" t="s">
        <v>54</v>
      </c>
      <c r="W59" s="101">
        <v>0</v>
      </c>
      <c r="AG59" s="27"/>
    </row>
    <row r="60" spans="1:33" s="31" customFormat="1" ht="12.75" customHeight="1" x14ac:dyDescent="0.2">
      <c r="A60" s="867"/>
      <c r="B60" s="877"/>
      <c r="C60" s="683"/>
      <c r="D60" s="684"/>
      <c r="E60" s="685"/>
      <c r="F60" s="68" t="s">
        <v>118</v>
      </c>
      <c r="G60" s="328">
        <v>0</v>
      </c>
      <c r="H60" s="328">
        <v>0</v>
      </c>
      <c r="I60" s="481">
        <v>0</v>
      </c>
      <c r="J60" s="689">
        <f t="shared" si="8"/>
        <v>0</v>
      </c>
      <c r="K60" s="482">
        <f t="shared" si="5"/>
        <v>0</v>
      </c>
      <c r="L60" s="29"/>
      <c r="M60" s="717">
        <v>0</v>
      </c>
      <c r="N60" s="120">
        <f t="shared" si="0"/>
        <v>0</v>
      </c>
      <c r="O60" s="117">
        <v>0</v>
      </c>
      <c r="P60" s="118">
        <f t="shared" si="1"/>
        <v>0</v>
      </c>
      <c r="Q60" s="128">
        <v>0</v>
      </c>
      <c r="R60" s="620">
        <f t="shared" si="2"/>
        <v>0</v>
      </c>
      <c r="S60" s="665">
        <f t="shared" si="6"/>
        <v>0</v>
      </c>
      <c r="U60" s="97"/>
      <c r="V60" s="94" t="s">
        <v>55</v>
      </c>
      <c r="W60" s="100">
        <f>SUM(W61:W69)</f>
        <v>1200000</v>
      </c>
      <c r="AG60" s="27"/>
    </row>
    <row r="61" spans="1:33" s="31" customFormat="1" ht="12.75" customHeight="1" thickBot="1" x14ac:dyDescent="0.25">
      <c r="A61" s="868"/>
      <c r="B61" s="878"/>
      <c r="C61" s="340"/>
      <c r="D61" s="329"/>
      <c r="E61" s="484"/>
      <c r="F61" s="485" t="s">
        <v>118</v>
      </c>
      <c r="G61" s="330">
        <v>0</v>
      </c>
      <c r="H61" s="330">
        <v>0</v>
      </c>
      <c r="I61" s="486">
        <v>0</v>
      </c>
      <c r="J61" s="690">
        <f t="shared" si="8"/>
        <v>0</v>
      </c>
      <c r="K61" s="487">
        <f t="shared" si="5"/>
        <v>0</v>
      </c>
      <c r="L61" s="29"/>
      <c r="M61" s="719">
        <v>0</v>
      </c>
      <c r="N61" s="286">
        <f t="shared" si="0"/>
        <v>0</v>
      </c>
      <c r="O61" s="285">
        <v>0</v>
      </c>
      <c r="P61" s="287">
        <f t="shared" si="1"/>
        <v>0</v>
      </c>
      <c r="Q61" s="288">
        <v>0</v>
      </c>
      <c r="R61" s="621">
        <f t="shared" si="2"/>
        <v>0</v>
      </c>
      <c r="S61" s="666">
        <f t="shared" si="6"/>
        <v>0</v>
      </c>
      <c r="U61" s="98">
        <v>53207010000000</v>
      </c>
      <c r="V61" s="95" t="s">
        <v>56</v>
      </c>
      <c r="W61" s="101">
        <v>0</v>
      </c>
      <c r="AG61" s="27"/>
    </row>
    <row r="62" spans="1:33" s="31" customFormat="1" ht="12.75" customHeight="1" thickBot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678">
        <f>SUM(K15:K61)</f>
        <v>95322445.205999985</v>
      </c>
      <c r="L62" s="27"/>
      <c r="M62" s="289">
        <f>+N62/$K$62</f>
        <v>0.60545443646642083</v>
      </c>
      <c r="N62" s="290">
        <f>SUM(N15:N61)</f>
        <v>57713397.344799995</v>
      </c>
      <c r="O62" s="289">
        <f>+P62/$K$62</f>
        <v>0.39454556353357928</v>
      </c>
      <c r="P62" s="290">
        <f>SUM(P15:P61)</f>
        <v>37609047.861199997</v>
      </c>
      <c r="Q62" s="289">
        <f>+R62/$K$62</f>
        <v>0</v>
      </c>
      <c r="R62" s="290">
        <f>SUM(R15:R61)</f>
        <v>0</v>
      </c>
      <c r="S62" s="27"/>
      <c r="U62" s="98">
        <v>53207020000000</v>
      </c>
      <c r="V62" s="95" t="s">
        <v>57</v>
      </c>
      <c r="W62" s="101">
        <v>0</v>
      </c>
      <c r="AG62" s="27"/>
    </row>
    <row r="63" spans="1:33" s="31" customFormat="1" ht="12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54">
        <v>1</v>
      </c>
      <c r="L63" s="27"/>
      <c r="M63" s="27"/>
      <c r="O63" s="27"/>
      <c r="P63" s="27"/>
      <c r="Q63" s="27"/>
      <c r="R63" s="27"/>
      <c r="S63" s="27"/>
      <c r="U63" s="98">
        <v>53208020000000</v>
      </c>
      <c r="V63" s="95" t="s">
        <v>58</v>
      </c>
      <c r="W63" s="101">
        <v>0</v>
      </c>
      <c r="AG63" s="27"/>
    </row>
    <row r="64" spans="1:33" s="31" customFormat="1" ht="12.75" customHeight="1" thickBot="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U64" s="98">
        <v>53208990000000</v>
      </c>
      <c r="V64" s="95" t="s">
        <v>59</v>
      </c>
      <c r="W64" s="101">
        <v>0</v>
      </c>
      <c r="AG64" s="27"/>
    </row>
    <row r="65" spans="1:33" s="31" customFormat="1" ht="12.75" customHeight="1" x14ac:dyDescent="0.2">
      <c r="A65" s="860" t="s">
        <v>136</v>
      </c>
      <c r="B65" s="863" t="s">
        <v>121</v>
      </c>
      <c r="C65" s="478" t="s">
        <v>279</v>
      </c>
      <c r="D65" s="701" t="s">
        <v>314</v>
      </c>
      <c r="E65" s="702" t="s">
        <v>315</v>
      </c>
      <c r="F65" s="82" t="s">
        <v>120</v>
      </c>
      <c r="G65" s="76">
        <v>3277000</v>
      </c>
      <c r="H65" s="76">
        <v>0</v>
      </c>
      <c r="I65" s="88">
        <v>0</v>
      </c>
      <c r="J65" s="675">
        <f t="shared" si="4"/>
        <v>3277000</v>
      </c>
      <c r="K65" s="477">
        <f>+J65*(1+$K$11)</f>
        <v>3703009.9999999995</v>
      </c>
      <c r="L65" s="29"/>
      <c r="M65" s="27"/>
      <c r="N65" s="27"/>
      <c r="O65" s="27"/>
      <c r="P65" s="27"/>
      <c r="Q65" s="27"/>
      <c r="R65" s="27"/>
      <c r="S65" s="27"/>
      <c r="U65" s="98">
        <v>53209010000000</v>
      </c>
      <c r="V65" s="95" t="s">
        <v>60</v>
      </c>
      <c r="W65" s="101">
        <v>0</v>
      </c>
      <c r="AG65" s="27"/>
    </row>
    <row r="66" spans="1:33" s="31" customFormat="1" ht="12.75" customHeight="1" x14ac:dyDescent="0.2">
      <c r="A66" s="861"/>
      <c r="B66" s="864"/>
      <c r="C66" s="60"/>
      <c r="D66" s="83"/>
      <c r="E66" s="84"/>
      <c r="F66" s="61" t="s">
        <v>120</v>
      </c>
      <c r="G66" s="77">
        <v>0</v>
      </c>
      <c r="H66" s="77">
        <v>0</v>
      </c>
      <c r="I66" s="89">
        <v>0</v>
      </c>
      <c r="J66" s="676">
        <f t="shared" si="4"/>
        <v>0</v>
      </c>
      <c r="K66" s="482">
        <f t="shared" ref="K66:K69" si="11">+J66*(1+$K$11)</f>
        <v>0</v>
      </c>
      <c r="L66" s="29"/>
      <c r="M66" s="27"/>
      <c r="N66" s="27"/>
      <c r="O66" s="27"/>
      <c r="P66" s="27"/>
      <c r="Q66" s="27"/>
      <c r="R66" s="27"/>
      <c r="S66" s="27"/>
      <c r="U66" s="98">
        <v>53209040000000</v>
      </c>
      <c r="V66" s="95" t="s">
        <v>61</v>
      </c>
      <c r="W66" s="101">
        <v>0</v>
      </c>
      <c r="AG66" s="27"/>
    </row>
    <row r="67" spans="1:33" s="31" customFormat="1" ht="12.75" customHeight="1" x14ac:dyDescent="0.2">
      <c r="A67" s="861"/>
      <c r="B67" s="864"/>
      <c r="C67" s="60"/>
      <c r="D67" s="83"/>
      <c r="E67" s="84"/>
      <c r="F67" s="61" t="s">
        <v>120</v>
      </c>
      <c r="G67" s="77">
        <v>0</v>
      </c>
      <c r="H67" s="77">
        <v>0</v>
      </c>
      <c r="I67" s="89">
        <v>0</v>
      </c>
      <c r="J67" s="676">
        <f t="shared" si="4"/>
        <v>0</v>
      </c>
      <c r="K67" s="482">
        <f t="shared" si="11"/>
        <v>0</v>
      </c>
      <c r="L67" s="29"/>
      <c r="M67" s="27"/>
      <c r="N67" s="27"/>
      <c r="O67" s="27"/>
      <c r="P67" s="27"/>
      <c r="Q67" s="27"/>
      <c r="R67" s="27"/>
      <c r="S67" s="27"/>
      <c r="U67" s="98">
        <v>53209050000000</v>
      </c>
      <c r="V67" s="95" t="s">
        <v>62</v>
      </c>
      <c r="W67" s="101">
        <v>0</v>
      </c>
      <c r="AG67" s="27"/>
    </row>
    <row r="68" spans="1:33" s="31" customFormat="1" ht="12.75" customHeight="1" x14ac:dyDescent="0.2">
      <c r="A68" s="861"/>
      <c r="B68" s="864"/>
      <c r="C68" s="59"/>
      <c r="D68" s="85"/>
      <c r="E68" s="86"/>
      <c r="F68" s="87" t="s">
        <v>120</v>
      </c>
      <c r="G68" s="77">
        <v>0</v>
      </c>
      <c r="H68" s="77">
        <v>0</v>
      </c>
      <c r="I68" s="89">
        <v>0</v>
      </c>
      <c r="J68" s="676">
        <f t="shared" si="4"/>
        <v>0</v>
      </c>
      <c r="K68" s="482">
        <f t="shared" si="11"/>
        <v>0</v>
      </c>
      <c r="L68" s="29"/>
      <c r="M68" s="27"/>
      <c r="N68" s="27"/>
      <c r="O68" s="27"/>
      <c r="P68" s="27"/>
      <c r="Q68" s="27"/>
      <c r="R68" s="27"/>
      <c r="S68" s="27"/>
      <c r="U68" s="98">
        <v>53209990000000</v>
      </c>
      <c r="V68" s="95" t="s">
        <v>63</v>
      </c>
      <c r="W68" s="101">
        <v>1200000</v>
      </c>
      <c r="AG68" s="27"/>
    </row>
    <row r="69" spans="1:33" s="31" customFormat="1" ht="12.75" customHeight="1" thickBot="1" x14ac:dyDescent="0.25">
      <c r="A69" s="862"/>
      <c r="B69" s="865"/>
      <c r="C69" s="91"/>
      <c r="D69" s="78"/>
      <c r="E69" s="79"/>
      <c r="F69" s="80" t="s">
        <v>120</v>
      </c>
      <c r="G69" s="81">
        <v>0</v>
      </c>
      <c r="H69" s="81">
        <v>0</v>
      </c>
      <c r="I69" s="90">
        <v>0</v>
      </c>
      <c r="J69" s="687">
        <f t="shared" si="4"/>
        <v>0</v>
      </c>
      <c r="K69" s="487">
        <f t="shared" si="11"/>
        <v>0</v>
      </c>
      <c r="L69" s="29"/>
      <c r="M69" s="27"/>
      <c r="N69" s="27"/>
      <c r="O69" s="27"/>
      <c r="P69" s="27"/>
      <c r="Q69" s="27"/>
      <c r="R69" s="27"/>
      <c r="S69" s="27"/>
      <c r="U69" s="98">
        <v>53210020100000</v>
      </c>
      <c r="V69" s="95" t="s">
        <v>64</v>
      </c>
      <c r="W69" s="101">
        <v>0</v>
      </c>
      <c r="AG69" s="27"/>
    </row>
    <row r="70" spans="1:33" ht="15.75" x14ac:dyDescent="0.2">
      <c r="C70" s="25"/>
      <c r="D70" s="25"/>
      <c r="E70" s="33"/>
      <c r="F70" s="33"/>
      <c r="G70" s="33"/>
      <c r="H70" s="33"/>
      <c r="I70" s="33"/>
      <c r="K70" s="53">
        <f>SUM(K65:K69)</f>
        <v>3703009.9999999995</v>
      </c>
      <c r="L70" s="29"/>
      <c r="U70" s="97"/>
      <c r="V70" s="94" t="s">
        <v>65</v>
      </c>
      <c r="W70" s="100">
        <f>SUM(W71:W77)</f>
        <v>0</v>
      </c>
    </row>
    <row r="71" spans="1:33" x14ac:dyDescent="0.2">
      <c r="K71" s="54">
        <v>1</v>
      </c>
      <c r="L71" s="29"/>
      <c r="M71" s="34"/>
      <c r="O71" s="34"/>
      <c r="Q71" s="34"/>
      <c r="U71" s="98">
        <v>53206030000000</v>
      </c>
      <c r="V71" s="95" t="s">
        <v>99</v>
      </c>
      <c r="W71" s="101">
        <v>0</v>
      </c>
    </row>
    <row r="72" spans="1:33" x14ac:dyDescent="0.2">
      <c r="L72" s="29"/>
      <c r="U72" s="98">
        <v>53206040000000</v>
      </c>
      <c r="V72" s="95" t="s">
        <v>100</v>
      </c>
      <c r="W72" s="101">
        <v>0</v>
      </c>
    </row>
    <row r="73" spans="1:33" x14ac:dyDescent="0.2">
      <c r="U73" s="98">
        <v>53206060000000</v>
      </c>
      <c r="V73" s="95" t="s">
        <v>101</v>
      </c>
      <c r="W73" s="101">
        <v>0</v>
      </c>
    </row>
    <row r="74" spans="1:33" x14ac:dyDescent="0.2">
      <c r="U74" s="98">
        <v>53206070000000</v>
      </c>
      <c r="V74" s="95" t="s">
        <v>102</v>
      </c>
      <c r="W74" s="101">
        <v>0</v>
      </c>
    </row>
    <row r="75" spans="1:33" ht="15.75" customHeight="1" x14ac:dyDescent="0.2">
      <c r="H75" s="92"/>
      <c r="U75" s="98">
        <v>53206990000000</v>
      </c>
      <c r="V75" s="95" t="s">
        <v>103</v>
      </c>
      <c r="W75" s="101">
        <v>0</v>
      </c>
    </row>
    <row r="76" spans="1:33" x14ac:dyDescent="0.2">
      <c r="U76" s="98">
        <v>53208030000000</v>
      </c>
      <c r="V76" s="95" t="s">
        <v>104</v>
      </c>
      <c r="W76" s="101">
        <v>0</v>
      </c>
    </row>
    <row r="77" spans="1:33" x14ac:dyDescent="0.2">
      <c r="U77" s="98">
        <v>53212060000000</v>
      </c>
      <c r="V77" s="95" t="s">
        <v>97</v>
      </c>
      <c r="W77" s="101">
        <v>0</v>
      </c>
    </row>
    <row r="78" spans="1:33" x14ac:dyDescent="0.2">
      <c r="U78" s="97"/>
      <c r="V78" s="94" t="s">
        <v>66</v>
      </c>
      <c r="W78" s="100">
        <f>SUM(W79:W79)</f>
        <v>0</v>
      </c>
    </row>
    <row r="79" spans="1:33" x14ac:dyDescent="0.2">
      <c r="U79" s="98">
        <v>53204999000000</v>
      </c>
      <c r="V79" s="95" t="s">
        <v>96</v>
      </c>
      <c r="W79" s="101">
        <v>0</v>
      </c>
    </row>
    <row r="80" spans="1:33" x14ac:dyDescent="0.2">
      <c r="U80" s="102"/>
      <c r="V80" s="103" t="s">
        <v>138</v>
      </c>
      <c r="W80" s="104">
        <f>+W40+W15</f>
        <v>15081360</v>
      </c>
    </row>
    <row r="83" ht="15.75" customHeight="1" x14ac:dyDescent="0.2"/>
    <row r="97" spans="11:12" x14ac:dyDescent="0.2">
      <c r="L97" s="106"/>
    </row>
    <row r="99" spans="11:12" x14ac:dyDescent="0.2">
      <c r="K99" s="114"/>
    </row>
    <row r="101" spans="11:12" x14ac:dyDescent="0.2">
      <c r="K101" s="107"/>
    </row>
  </sheetData>
  <sheetProtection algorithmName="SHA-512" hashValue="at1ujOPvNeTVli8XC7NYF3E8td98AI2NWfJ4Hpo9Nkp3S4mSGGI2aohmIDz/dLmXHkLsXXlfs5zJ28vcJLScbg==" saltValue="oXx++l9pkBjWOkgt5+DFIw==" spinCount="100000"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65:A69"/>
    <mergeCell ref="B65:B69"/>
    <mergeCell ref="A15:A61"/>
    <mergeCell ref="B15:B24"/>
    <mergeCell ref="B25:B34"/>
    <mergeCell ref="B35:B39"/>
    <mergeCell ref="B40:B61"/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</mergeCells>
  <conditionalFormatting sqref="S15:S61">
    <cfRule type="cellIs" dxfId="3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zoomScale="80" zoomScaleNormal="80" workbookViewId="0">
      <selection activeCell="I39" sqref="I39"/>
    </sheetView>
  </sheetViews>
  <sheetFormatPr baseColWidth="10" defaultColWidth="11.42578125" defaultRowHeight="12.75" x14ac:dyDescent="0.2"/>
  <cols>
    <col min="1" max="1" width="42.140625" style="3" bestFit="1" customWidth="1"/>
    <col min="2" max="2" width="33" style="3" bestFit="1" customWidth="1"/>
    <col min="3" max="3" width="14.140625" style="21" customWidth="1"/>
    <col min="4" max="4" width="14.140625" style="21" bestFit="1" customWidth="1"/>
    <col min="5" max="17" width="14.140625" style="21" customWidth="1"/>
    <col min="18" max="18" width="13.28515625" style="3" customWidth="1"/>
    <col min="19" max="19" width="14.140625" style="3" bestFit="1" customWidth="1"/>
    <col min="20" max="20" width="14.140625" style="3" customWidth="1"/>
    <col min="21" max="21" width="12.28515625" style="3" customWidth="1"/>
    <col min="22" max="16384" width="11.42578125" style="3"/>
  </cols>
  <sheetData>
    <row r="1" spans="1:245" s="5" customFormat="1" x14ac:dyDescent="0.2">
      <c r="B1" s="4"/>
      <c r="C1" s="6"/>
      <c r="D1" s="6"/>
      <c r="E1" s="6"/>
      <c r="F1" s="6"/>
      <c r="G1" s="36" t="s">
        <v>202</v>
      </c>
      <c r="H1" s="6"/>
      <c r="I1" s="6"/>
      <c r="J1" s="6"/>
      <c r="K1" s="6"/>
      <c r="L1" s="6"/>
      <c r="M1" s="6"/>
      <c r="N1" s="6"/>
      <c r="O1" s="6"/>
      <c r="P1" s="6"/>
      <c r="Q1" s="6"/>
      <c r="IJ1" s="3"/>
      <c r="IK1" s="3"/>
    </row>
    <row r="2" spans="1:245" s="5" customFormat="1" x14ac:dyDescent="0.2">
      <c r="B2" s="7"/>
      <c r="C2" s="6"/>
      <c r="D2" s="6"/>
      <c r="E2" s="6"/>
      <c r="F2" s="6"/>
      <c r="G2" s="36" t="s">
        <v>194</v>
      </c>
      <c r="H2" s="6"/>
      <c r="I2" s="6"/>
      <c r="J2" s="6"/>
      <c r="K2" s="6"/>
      <c r="L2" s="6"/>
      <c r="M2" s="6"/>
      <c r="N2" s="6"/>
      <c r="O2" s="6"/>
      <c r="P2" s="6"/>
      <c r="Q2" s="6"/>
      <c r="IJ2" s="3"/>
      <c r="IK2" s="3"/>
    </row>
    <row r="3" spans="1:245" s="5" customFormat="1" x14ac:dyDescent="0.2">
      <c r="B3" s="3"/>
      <c r="IJ3" s="3"/>
      <c r="IK3" s="3"/>
    </row>
    <row r="4" spans="1:245" s="5" customFormat="1" ht="17.25" customHeight="1" x14ac:dyDescent="0.2">
      <c r="B4" s="21"/>
      <c r="C4" s="72"/>
      <c r="F4" s="72" t="s">
        <v>0</v>
      </c>
      <c r="G4" s="906" t="str">
        <f>+'B) Reajuste Tarifas y Ocupación'!F5</f>
        <v>(DEPTO./DELEG.)</v>
      </c>
      <c r="H4" s="907"/>
      <c r="I4" s="72"/>
      <c r="J4" s="72"/>
      <c r="K4" s="72"/>
      <c r="L4" s="72"/>
      <c r="M4" s="72"/>
      <c r="N4" s="72"/>
      <c r="O4" s="72"/>
      <c r="P4" s="72"/>
      <c r="Q4" s="72"/>
      <c r="IA4" s="3"/>
      <c r="IB4" s="3"/>
      <c r="IC4" s="3"/>
      <c r="ID4" s="3"/>
      <c r="IE4" s="3"/>
      <c r="IF4" s="3"/>
    </row>
    <row r="5" spans="1:245" s="5" customFormat="1" x14ac:dyDescent="0.2">
      <c r="B5" s="21"/>
      <c r="C5" s="72"/>
      <c r="F5" s="72"/>
      <c r="G5" s="75"/>
      <c r="H5" s="75"/>
      <c r="I5" s="72"/>
      <c r="J5" s="72"/>
      <c r="K5" s="72"/>
      <c r="L5" s="72"/>
      <c r="M5" s="72"/>
      <c r="N5" s="72"/>
      <c r="O5" s="72"/>
      <c r="P5" s="72"/>
      <c r="Q5" s="72"/>
      <c r="IA5" s="3"/>
      <c r="IB5" s="3"/>
      <c r="IC5" s="3"/>
      <c r="ID5" s="3"/>
      <c r="IE5" s="3"/>
      <c r="IF5" s="3"/>
    </row>
    <row r="6" spans="1:245" s="5" customFormat="1" ht="15.75" x14ac:dyDescent="0.2">
      <c r="A6" s="915" t="s">
        <v>156</v>
      </c>
      <c r="B6" s="915"/>
      <c r="C6" s="915"/>
      <c r="D6" s="915"/>
      <c r="E6" s="74"/>
      <c r="F6" s="72"/>
      <c r="G6" s="75"/>
      <c r="H6" s="75"/>
      <c r="I6" s="72"/>
      <c r="J6" s="72"/>
      <c r="K6" s="72"/>
      <c r="L6" s="72"/>
      <c r="M6" s="72"/>
      <c r="N6" s="72"/>
      <c r="O6" s="72"/>
      <c r="P6" s="72"/>
      <c r="Q6" s="72"/>
      <c r="IA6" s="3"/>
      <c r="IB6" s="3"/>
      <c r="IC6" s="3"/>
      <c r="ID6" s="3"/>
      <c r="IE6" s="3"/>
      <c r="IF6" s="3"/>
    </row>
    <row r="7" spans="1:245" s="5" customFormat="1" ht="13.5" thickBot="1" x14ac:dyDescent="0.2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HX7" s="3"/>
      <c r="HY7" s="3"/>
      <c r="HZ7" s="3"/>
      <c r="IA7" s="3"/>
      <c r="IB7" s="3"/>
      <c r="IC7" s="3"/>
      <c r="ID7" s="3"/>
      <c r="IE7" s="3"/>
      <c r="IF7" s="3"/>
    </row>
    <row r="8" spans="1:245" ht="16.5" customHeight="1" thickBot="1" x14ac:dyDescent="0.25">
      <c r="A8" s="916" t="s">
        <v>113</v>
      </c>
      <c r="B8" s="918" t="s">
        <v>5</v>
      </c>
      <c r="C8" s="912" t="s">
        <v>262</v>
      </c>
      <c r="D8" s="913"/>
      <c r="E8" s="913"/>
      <c r="F8" s="913"/>
      <c r="G8" s="914"/>
      <c r="H8" s="908" t="s">
        <v>230</v>
      </c>
      <c r="I8" s="909"/>
      <c r="J8" s="909"/>
      <c r="K8" s="909"/>
      <c r="L8" s="910"/>
      <c r="M8" s="911" t="s">
        <v>124</v>
      </c>
      <c r="N8" s="904"/>
      <c r="O8" s="904"/>
      <c r="P8" s="904"/>
      <c r="Q8" s="905"/>
      <c r="R8" s="904" t="s">
        <v>125</v>
      </c>
      <c r="S8" s="904"/>
      <c r="T8" s="904"/>
      <c r="U8" s="904"/>
      <c r="V8" s="905"/>
    </row>
    <row r="9" spans="1:245" ht="64.5" thickBot="1" x14ac:dyDescent="0.25">
      <c r="A9" s="917" t="e">
        <f>NA()</f>
        <v>#N/A</v>
      </c>
      <c r="B9" s="919" t="e">
        <f>NA()</f>
        <v>#N/A</v>
      </c>
      <c r="C9" s="67" t="s">
        <v>86</v>
      </c>
      <c r="D9" s="66" t="s">
        <v>134</v>
      </c>
      <c r="E9" s="66" t="s">
        <v>135</v>
      </c>
      <c r="F9" s="66" t="s">
        <v>87</v>
      </c>
      <c r="G9" s="623" t="s">
        <v>88</v>
      </c>
      <c r="H9" s="627" t="s">
        <v>86</v>
      </c>
      <c r="I9" s="628" t="s">
        <v>134</v>
      </c>
      <c r="J9" s="628" t="s">
        <v>135</v>
      </c>
      <c r="K9" s="628" t="s">
        <v>87</v>
      </c>
      <c r="L9" s="637" t="s">
        <v>88</v>
      </c>
      <c r="M9" s="629" t="s">
        <v>86</v>
      </c>
      <c r="N9" s="630" t="s">
        <v>134</v>
      </c>
      <c r="O9" s="630" t="s">
        <v>135</v>
      </c>
      <c r="P9" s="630" t="s">
        <v>87</v>
      </c>
      <c r="Q9" s="631" t="s">
        <v>88</v>
      </c>
      <c r="R9" s="638" t="s">
        <v>86</v>
      </c>
      <c r="S9" s="630" t="s">
        <v>134</v>
      </c>
      <c r="T9" s="630" t="s">
        <v>135</v>
      </c>
      <c r="U9" s="630" t="s">
        <v>87</v>
      </c>
      <c r="V9" s="631" t="s">
        <v>88</v>
      </c>
    </row>
    <row r="10" spans="1:245" s="9" customFormat="1" x14ac:dyDescent="0.2">
      <c r="A10" s="901" t="str">
        <f>+'B) Reajuste Tarifas y Ocupación'!A12</f>
        <v>Jardín Infantil Olitas de Mar</v>
      </c>
      <c r="B10" s="240" t="str">
        <f>+'B) Reajuste Tarifas y Ocupación'!B12</f>
        <v>Media jornada</v>
      </c>
      <c r="C10" s="657">
        <f>+'B) Reajuste Tarifas y Ocupación'!M12</f>
        <v>61000</v>
      </c>
      <c r="D10" s="658">
        <f>+'B) Reajuste Tarifas y Ocupación'!N12</f>
        <v>82300</v>
      </c>
      <c r="E10" s="658">
        <f>+'B) Reajuste Tarifas y Ocupación'!O12</f>
        <v>85400</v>
      </c>
      <c r="F10" s="658">
        <f>+'B) Reajuste Tarifas y Ocupación'!P12</f>
        <v>92200</v>
      </c>
      <c r="G10" s="624">
        <f>+'B) Reajuste Tarifas y Ocupación'!Q12</f>
        <v>148000</v>
      </c>
      <c r="H10" s="632">
        <f>+'B) Reajuste Tarifas y Ocupación'!C12</f>
        <v>52300</v>
      </c>
      <c r="I10" s="633">
        <f>+'B) Reajuste Tarifas y Ocupación'!D12</f>
        <v>62700</v>
      </c>
      <c r="J10" s="633">
        <f>+'B) Reajuste Tarifas y Ocupación'!E12</f>
        <v>62700</v>
      </c>
      <c r="K10" s="633">
        <f>+'B) Reajuste Tarifas y Ocupación'!F12</f>
        <v>79100</v>
      </c>
      <c r="L10" s="634">
        <f>+'B) Reajuste Tarifas y Ocupación'!G12</f>
        <v>127000</v>
      </c>
      <c r="M10" s="503">
        <f t="shared" ref="M10:Q11" si="0">C10-H10</f>
        <v>8700</v>
      </c>
      <c r="N10" s="504">
        <f t="shared" si="0"/>
        <v>19600</v>
      </c>
      <c r="O10" s="504">
        <f t="shared" si="0"/>
        <v>22700</v>
      </c>
      <c r="P10" s="504">
        <f t="shared" si="0"/>
        <v>13100</v>
      </c>
      <c r="Q10" s="643">
        <f t="shared" si="0"/>
        <v>21000</v>
      </c>
      <c r="R10" s="639">
        <f>+'B) Reajuste Tarifas y Ocupación'!H12</f>
        <v>0.16500000000000001</v>
      </c>
      <c r="S10" s="505">
        <f>+'B) Reajuste Tarifas y Ocupación'!I12</f>
        <v>0.16500000000000001</v>
      </c>
      <c r="T10" s="505">
        <f>+'B) Reajuste Tarifas y Ocupación'!J12</f>
        <v>0.16500000000000001</v>
      </c>
      <c r="U10" s="505">
        <f>+'B) Reajuste Tarifas y Ocupación'!K12</f>
        <v>0.16500000000000001</v>
      </c>
      <c r="V10" s="506">
        <f>+'B) Reajuste Tarifas y Ocupación'!L12</f>
        <v>0.16500000000000001</v>
      </c>
    </row>
    <row r="11" spans="1:245" s="9" customFormat="1" x14ac:dyDescent="0.2">
      <c r="A11" s="902"/>
      <c r="B11" s="241" t="str">
        <f>+'B) Reajuste Tarifas y Ocupación'!B13</f>
        <v>Media jornada Extendida</v>
      </c>
      <c r="C11" s="659">
        <f>+'B) Reajuste Tarifas y Ocupación'!M13</f>
        <v>69600</v>
      </c>
      <c r="D11" s="660">
        <f>+'B) Reajuste Tarifas y Ocupación'!N13</f>
        <v>93900</v>
      </c>
      <c r="E11" s="660">
        <f>+'B) Reajuste Tarifas y Ocupación'!O13</f>
        <v>97400</v>
      </c>
      <c r="F11" s="660">
        <f>+'B) Reajuste Tarifas y Ocupación'!P13</f>
        <v>131800</v>
      </c>
      <c r="G11" s="625">
        <f>+'B) Reajuste Tarifas y Ocupación'!Q13</f>
        <v>196400</v>
      </c>
      <c r="H11" s="635">
        <f>+'B) Reajuste Tarifas y Ocupación'!C13</f>
        <v>59700</v>
      </c>
      <c r="I11" s="622">
        <f>+'B) Reajuste Tarifas y Ocupación'!D13</f>
        <v>71600</v>
      </c>
      <c r="J11" s="622">
        <f>+'B) Reajuste Tarifas y Ocupación'!E13</f>
        <v>71600</v>
      </c>
      <c r="K11" s="622">
        <f>+'B) Reajuste Tarifas y Ocupación'!F13</f>
        <v>113100</v>
      </c>
      <c r="L11" s="636">
        <f>+'B) Reajuste Tarifas y Ocupación'!G13</f>
        <v>168500</v>
      </c>
      <c r="M11" s="507">
        <f t="shared" si="0"/>
        <v>9900</v>
      </c>
      <c r="N11" s="508">
        <f t="shared" si="0"/>
        <v>22300</v>
      </c>
      <c r="O11" s="508">
        <f t="shared" si="0"/>
        <v>25800</v>
      </c>
      <c r="P11" s="508">
        <f t="shared" si="0"/>
        <v>18700</v>
      </c>
      <c r="Q11" s="644">
        <f t="shared" si="0"/>
        <v>27900</v>
      </c>
      <c r="R11" s="640">
        <f>+'B) Reajuste Tarifas y Ocupación'!H13</f>
        <v>0.16500000000000001</v>
      </c>
      <c r="S11" s="509">
        <f>+'B) Reajuste Tarifas y Ocupación'!I13</f>
        <v>0.16500000000000001</v>
      </c>
      <c r="T11" s="509">
        <f>+'B) Reajuste Tarifas y Ocupación'!J13</f>
        <v>0.16500000000000001</v>
      </c>
      <c r="U11" s="509">
        <f>+'B) Reajuste Tarifas y Ocupación'!K13</f>
        <v>0.16500000000000001</v>
      </c>
      <c r="V11" s="510">
        <f>+'B) Reajuste Tarifas y Ocupación'!L13</f>
        <v>0.16500000000000001</v>
      </c>
    </row>
    <row r="12" spans="1:245" s="9" customFormat="1" ht="13.5" thickBot="1" x14ac:dyDescent="0.25">
      <c r="A12" s="903"/>
      <c r="B12" s="242" t="str">
        <f>+'B) Reajuste Tarifas y Ocupación'!B14</f>
        <v>Jornada Completa</v>
      </c>
      <c r="C12" s="332">
        <f>+'B) Reajuste Tarifas y Ocupación'!M14</f>
        <v>109100</v>
      </c>
      <c r="D12" s="333">
        <f>+'B) Reajuste Tarifas y Ocupación'!N14</f>
        <v>147300</v>
      </c>
      <c r="E12" s="333">
        <f>+'B) Reajuste Tarifas y Ocupación'!O14</f>
        <v>152700</v>
      </c>
      <c r="F12" s="333">
        <f>+'B) Reajuste Tarifas y Ocupación'!P14</f>
        <v>168900</v>
      </c>
      <c r="G12" s="335">
        <f>+'B) Reajuste Tarifas y Ocupación'!Q14</f>
        <v>271400</v>
      </c>
      <c r="H12" s="252">
        <f>+'B) Reajuste Tarifas y Ocupación'!C14</f>
        <v>93600</v>
      </c>
      <c r="I12" s="253">
        <f>+'B) Reajuste Tarifas y Ocupación'!D14</f>
        <v>112300</v>
      </c>
      <c r="J12" s="253">
        <f>+'B) Reajuste Tarifas y Ocupación'!E14</f>
        <v>112300</v>
      </c>
      <c r="K12" s="253">
        <f>+'B) Reajuste Tarifas y Ocupación'!F14</f>
        <v>144900</v>
      </c>
      <c r="L12" s="254">
        <f>+'B) Reajuste Tarifas y Ocupación'!G14</f>
        <v>232900</v>
      </c>
      <c r="M12" s="255">
        <f t="shared" ref="M12" si="1">C12-H12</f>
        <v>15500</v>
      </c>
      <c r="N12" s="256">
        <f t="shared" ref="N12" si="2">D12-I12</f>
        <v>35000</v>
      </c>
      <c r="O12" s="256">
        <f t="shared" ref="O12" si="3">E12-J12</f>
        <v>40400</v>
      </c>
      <c r="P12" s="256">
        <f t="shared" ref="P12" si="4">F12-K12</f>
        <v>24000</v>
      </c>
      <c r="Q12" s="645">
        <f t="shared" ref="Q12" si="5">G12-L12</f>
        <v>38500</v>
      </c>
      <c r="R12" s="642">
        <f>+'B) Reajuste Tarifas y Ocupación'!H14</f>
        <v>0.16500000000000001</v>
      </c>
      <c r="S12" s="257">
        <f>+'B) Reajuste Tarifas y Ocupación'!I14</f>
        <v>0.16500000000000001</v>
      </c>
      <c r="T12" s="257">
        <f>+'B) Reajuste Tarifas y Ocupación'!J14</f>
        <v>0.16500000000000001</v>
      </c>
      <c r="U12" s="257">
        <f>+'B) Reajuste Tarifas y Ocupación'!K14</f>
        <v>0.16500000000000001</v>
      </c>
      <c r="V12" s="258">
        <f>+'B) Reajuste Tarifas y Ocupación'!L14</f>
        <v>0.16500000000000001</v>
      </c>
    </row>
    <row r="13" spans="1:245" x14ac:dyDescent="0.2">
      <c r="A13" s="899" t="str">
        <f>+'B) Reajuste Tarifas y Ocupación'!A15</f>
        <v>Sala Cuna Olitas de Mar</v>
      </c>
      <c r="B13" s="646" t="str">
        <f>+'B) Reajuste Tarifas y Ocupación'!B15</f>
        <v>Diurna</v>
      </c>
      <c r="C13" s="647">
        <f>+'B) Reajuste Tarifas y Ocupación'!M15</f>
        <v>347400</v>
      </c>
      <c r="D13" s="648">
        <f>+'B) Reajuste Tarifas y Ocupación'!N15</f>
        <v>469000</v>
      </c>
      <c r="E13" s="648">
        <f>+'B) Reajuste Tarifas y Ocupación'!O15</f>
        <v>486400</v>
      </c>
      <c r="F13" s="648">
        <f>+'B) Reajuste Tarifas y Ocupación'!P15</f>
        <v>434200</v>
      </c>
      <c r="G13" s="649">
        <f>+'B) Reajuste Tarifas y Ocupación'!Q15</f>
        <v>521100</v>
      </c>
      <c r="H13" s="650">
        <f>+'B) Reajuste Tarifas y Ocupación'!C15</f>
        <v>327700</v>
      </c>
      <c r="I13" s="651">
        <f>+'B) Reajuste Tarifas y Ocupación'!D15</f>
        <v>393300</v>
      </c>
      <c r="J13" s="651">
        <f>+'B) Reajuste Tarifas y Ocupación'!E15</f>
        <v>393300</v>
      </c>
      <c r="K13" s="651">
        <f>+'B) Reajuste Tarifas y Ocupación'!F15</f>
        <v>409600</v>
      </c>
      <c r="L13" s="652">
        <f>+'B) Reajuste Tarifas y Ocupación'!G15</f>
        <v>491600</v>
      </c>
      <c r="M13" s="280">
        <f t="shared" ref="M13" si="6">C13-H13</f>
        <v>19700</v>
      </c>
      <c r="N13" s="653">
        <f t="shared" ref="N13" si="7">D13-I13</f>
        <v>75700</v>
      </c>
      <c r="O13" s="653">
        <f t="shared" ref="O13" si="8">E13-J13</f>
        <v>93100</v>
      </c>
      <c r="P13" s="653">
        <f t="shared" ref="P13" si="9">F13-K13</f>
        <v>24600</v>
      </c>
      <c r="Q13" s="282">
        <f t="shared" ref="Q13" si="10">G13-L13</f>
        <v>29500</v>
      </c>
      <c r="R13" s="654">
        <f>+'B) Reajuste Tarifas y Ocupación'!H15</f>
        <v>0.06</v>
      </c>
      <c r="S13" s="655">
        <f>+'B) Reajuste Tarifas y Ocupación'!I15</f>
        <v>0.06</v>
      </c>
      <c r="T13" s="655">
        <f>+'B) Reajuste Tarifas y Ocupación'!J15</f>
        <v>0.06</v>
      </c>
      <c r="U13" s="655">
        <f>+'B) Reajuste Tarifas y Ocupación'!K15</f>
        <v>0.06</v>
      </c>
      <c r="V13" s="656">
        <f>+'B) Reajuste Tarifas y Ocupación'!L15</f>
        <v>0.06</v>
      </c>
    </row>
    <row r="14" spans="1:245" x14ac:dyDescent="0.2">
      <c r="A14" s="899"/>
      <c r="B14" s="241" t="str">
        <f>+'B) Reajuste Tarifas y Ocupación'!B16</f>
        <v>Nocturna</v>
      </c>
      <c r="C14" s="488"/>
      <c r="D14" s="489"/>
      <c r="E14" s="489"/>
      <c r="F14" s="489"/>
      <c r="G14" s="626"/>
      <c r="H14" s="511"/>
      <c r="I14" s="512"/>
      <c r="J14" s="512"/>
      <c r="K14" s="512"/>
      <c r="L14" s="513"/>
      <c r="M14" s="511"/>
      <c r="N14" s="512"/>
      <c r="O14" s="512"/>
      <c r="P14" s="512"/>
      <c r="Q14" s="514"/>
      <c r="R14" s="641"/>
      <c r="S14" s="512"/>
      <c r="T14" s="512"/>
      <c r="U14" s="512"/>
      <c r="V14" s="514"/>
    </row>
    <row r="15" spans="1:245" ht="13.5" thickBot="1" x14ac:dyDescent="0.25">
      <c r="A15" s="900"/>
      <c r="B15" s="242" t="str">
        <f>+'B) Reajuste Tarifas y Ocupación'!B17</f>
        <v>Media Jornada</v>
      </c>
      <c r="C15" s="332">
        <f>+'B) Reajuste Tarifas y Ocupación'!M17</f>
        <v>208600</v>
      </c>
      <c r="D15" s="333">
        <f>+'B) Reajuste Tarifas y Ocupación'!N17</f>
        <v>281500</v>
      </c>
      <c r="E15" s="333">
        <f>+'B) Reajuste Tarifas y Ocupación'!O17</f>
        <v>292000</v>
      </c>
      <c r="F15" s="333">
        <f>+'B) Reajuste Tarifas y Ocupación'!P17</f>
        <v>312700</v>
      </c>
      <c r="G15" s="335">
        <f>+'B) Reajuste Tarifas y Ocupación'!Q17</f>
        <v>416900</v>
      </c>
      <c r="H15" s="252">
        <f>+'B) Reajuste Tarifas y Ocupación'!C17</f>
        <v>196700</v>
      </c>
      <c r="I15" s="253">
        <f>+'B) Reajuste Tarifas y Ocupación'!D17</f>
        <v>236000</v>
      </c>
      <c r="J15" s="253">
        <f>+'B) Reajuste Tarifas y Ocupación'!E17</f>
        <v>236000</v>
      </c>
      <c r="K15" s="253">
        <f>+'B) Reajuste Tarifas y Ocupación'!F17</f>
        <v>295000</v>
      </c>
      <c r="L15" s="254">
        <f>+'B) Reajuste Tarifas y Ocupación'!G17</f>
        <v>393300</v>
      </c>
      <c r="M15" s="255">
        <f t="shared" ref="M15" si="11">C15-H15</f>
        <v>11900</v>
      </c>
      <c r="N15" s="256">
        <f t="shared" ref="N15" si="12">D15-I15</f>
        <v>45500</v>
      </c>
      <c r="O15" s="256">
        <f t="shared" ref="O15" si="13">E15-J15</f>
        <v>56000</v>
      </c>
      <c r="P15" s="256">
        <f t="shared" ref="P15" si="14">F15-K15</f>
        <v>17700</v>
      </c>
      <c r="Q15" s="645">
        <f t="shared" ref="Q15" si="15">G15-L15</f>
        <v>23600</v>
      </c>
      <c r="R15" s="642">
        <f>+'B) Reajuste Tarifas y Ocupación'!H17</f>
        <v>0.06</v>
      </c>
      <c r="S15" s="257">
        <f>+'B) Reajuste Tarifas y Ocupación'!I17</f>
        <v>0.06</v>
      </c>
      <c r="T15" s="257">
        <f>+'B) Reajuste Tarifas y Ocupación'!J17</f>
        <v>0.06</v>
      </c>
      <c r="U15" s="257">
        <f>+'B) Reajuste Tarifas y Ocupación'!K17</f>
        <v>0.06</v>
      </c>
      <c r="V15" s="258">
        <f>+'B) Reajuste Tarifas y Ocupación'!L17</f>
        <v>0.06</v>
      </c>
    </row>
  </sheetData>
  <sheetProtection algorithmName="SHA-512" hashValue="oEs+6f+p2Txy1gyDJlLyIrYNLfQuBffoQeAUKnkKGKMOb4GGUNclJ5WPkw2dvwF8l2xfigroJHr8oolZilqAvA==" saltValue="x7TdvxOa7Jbdlhq80wtuPA==" spinCount="100000"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5">
    <cfRule type="cellIs" dxfId="2" priority="3" operator="lessThan">
      <formula>0</formula>
    </cfRule>
  </conditionalFormatting>
  <conditionalFormatting sqref="H14:L14">
    <cfRule type="cellIs" dxfId="1" priority="2" operator="lessThan">
      <formula>0</formula>
    </cfRule>
  </conditionalFormatting>
  <conditionalFormatting sqref="M14:V14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4"/>
  <sheetViews>
    <sheetView showGridLines="0" zoomScale="80" zoomScaleNormal="80" workbookViewId="0">
      <selection activeCell="I42" sqref="I42"/>
    </sheetView>
  </sheetViews>
  <sheetFormatPr baseColWidth="10" defaultColWidth="11.42578125" defaultRowHeight="12.75" x14ac:dyDescent="0.2"/>
  <cols>
    <col min="1" max="1" width="7.140625" style="27" customWidth="1"/>
    <col min="2" max="2" width="37.28515625" style="27" customWidth="1"/>
    <col min="3" max="3" width="28" style="27" customWidth="1"/>
    <col min="4" max="4" width="24.140625" style="27" customWidth="1"/>
    <col min="5" max="5" width="25.140625" style="27" customWidth="1"/>
    <col min="6" max="6" width="22.140625" style="27" customWidth="1"/>
    <col min="7" max="8" width="14.85546875" style="27" customWidth="1"/>
    <col min="9" max="9" width="15" style="27" customWidth="1"/>
    <col min="10" max="10" width="15.140625" style="27" customWidth="1"/>
    <col min="11" max="11" width="17.42578125" style="27" customWidth="1"/>
    <col min="12" max="12" width="25" style="27" customWidth="1"/>
    <col min="13" max="13" width="19.140625" style="27" customWidth="1"/>
    <col min="14" max="14" width="16.140625" style="27" customWidth="1"/>
    <col min="15" max="15" width="17.140625" style="27" customWidth="1"/>
    <col min="16" max="16" width="14.85546875" style="27" customWidth="1"/>
    <col min="17" max="17" width="17.7109375" style="27" customWidth="1"/>
    <col min="18" max="18" width="17.140625" style="27" customWidth="1"/>
    <col min="19" max="19" width="18.140625" style="35" customWidth="1"/>
    <col min="20" max="20" width="16.28515625" style="27" customWidth="1"/>
    <col min="21" max="21" width="15.85546875" style="27" customWidth="1"/>
    <col min="22" max="22" width="14.85546875" style="27" customWidth="1"/>
    <col min="23" max="23" width="15.85546875" style="27" customWidth="1"/>
    <col min="24" max="24" width="14.28515625" style="27" customWidth="1"/>
    <col min="25" max="25" width="14.85546875" style="27" customWidth="1"/>
    <col min="26" max="26" width="14.140625" style="27" customWidth="1"/>
    <col min="27" max="27" width="16.85546875" style="27" customWidth="1"/>
    <col min="28" max="28" width="17.5703125" style="27" customWidth="1"/>
    <col min="29" max="29" width="15.28515625" style="27" customWidth="1"/>
    <col min="30" max="30" width="19.7109375" style="27" customWidth="1"/>
    <col min="31" max="31" width="17.42578125" style="27" customWidth="1"/>
    <col min="32" max="32" width="12" style="27" customWidth="1"/>
    <col min="33" max="16384" width="11.42578125" style="27"/>
  </cols>
  <sheetData>
    <row r="1" spans="2:259" s="5" customFormat="1" x14ac:dyDescent="0.2">
      <c r="C1" s="6"/>
      <c r="D1" s="6"/>
      <c r="E1" s="36" t="s">
        <v>203</v>
      </c>
      <c r="F1" s="36"/>
      <c r="G1" s="36"/>
      <c r="H1" s="36"/>
      <c r="I1" s="36"/>
      <c r="J1" s="36"/>
      <c r="K1" s="6"/>
      <c r="L1" s="6"/>
      <c r="IN1" s="3"/>
      <c r="IO1" s="3"/>
    </row>
    <row r="2" spans="2:259" s="5" customFormat="1" x14ac:dyDescent="0.2">
      <c r="E2" s="36" t="s">
        <v>195</v>
      </c>
      <c r="F2" s="36"/>
      <c r="G2" s="36"/>
      <c r="H2" s="36"/>
      <c r="I2" s="36"/>
      <c r="J2" s="36"/>
      <c r="IN2" s="3"/>
      <c r="IO2" s="3"/>
    </row>
    <row r="3" spans="2:259" s="5" customFormat="1" x14ac:dyDescent="0.2">
      <c r="B3" s="2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IE3" s="3"/>
      <c r="IF3" s="3"/>
      <c r="IG3" s="3"/>
      <c r="IH3" s="3"/>
      <c r="II3" s="3"/>
      <c r="IJ3" s="3"/>
    </row>
    <row r="4" spans="2:259" s="5" customFormat="1" ht="18.75" customHeight="1" x14ac:dyDescent="0.2">
      <c r="B4" s="22"/>
      <c r="D4" s="532" t="s">
        <v>0</v>
      </c>
      <c r="E4" s="115" t="str">
        <f>+'B) Reajuste Tarifas y Ocupación'!F5</f>
        <v>(DEPTO./DELEG.)</v>
      </c>
      <c r="F4" s="48"/>
      <c r="G4" s="49"/>
      <c r="H4" s="49"/>
      <c r="I4" s="49"/>
      <c r="J4" s="49"/>
      <c r="K4" s="49"/>
      <c r="O4" s="2"/>
      <c r="IE4" s="3"/>
      <c r="IF4" s="3"/>
      <c r="IG4" s="3"/>
      <c r="IH4" s="3"/>
      <c r="II4" s="3"/>
      <c r="IJ4" s="3"/>
    </row>
    <row r="5" spans="2:259" s="5" customFormat="1" x14ac:dyDescent="0.2">
      <c r="B5" s="22"/>
      <c r="D5" s="534"/>
      <c r="E5" s="535"/>
      <c r="F5" s="535"/>
      <c r="G5" s="535"/>
      <c r="H5" s="535"/>
      <c r="I5" s="535"/>
      <c r="J5" s="535"/>
      <c r="K5" s="535"/>
      <c r="O5" s="2"/>
      <c r="IE5" s="3"/>
      <c r="IF5" s="3"/>
      <c r="IG5" s="3"/>
      <c r="IH5" s="3"/>
      <c r="II5" s="3"/>
      <c r="IJ5" s="3"/>
    </row>
    <row r="6" spans="2:259" s="5" customFormat="1" x14ac:dyDescent="0.2">
      <c r="B6" s="22"/>
      <c r="D6" s="534"/>
      <c r="E6" s="535"/>
      <c r="F6" s="535"/>
      <c r="G6" s="535"/>
      <c r="H6" s="535"/>
      <c r="I6" s="535"/>
      <c r="J6" s="535"/>
      <c r="K6" s="535"/>
      <c r="O6" s="2"/>
      <c r="IE6" s="3"/>
      <c r="IF6" s="3"/>
      <c r="IG6" s="3"/>
      <c r="IH6" s="3"/>
      <c r="II6" s="3"/>
      <c r="IJ6" s="3"/>
    </row>
    <row r="7" spans="2:259" s="13" customFormat="1" ht="15.75" x14ac:dyDescent="0.2">
      <c r="B7" s="782" t="s">
        <v>157</v>
      </c>
      <c r="C7" s="782"/>
      <c r="D7" s="782"/>
      <c r="E7" s="782"/>
      <c r="F7" s="533"/>
      <c r="G7" s="50" t="s">
        <v>4</v>
      </c>
      <c r="H7" s="51">
        <v>0.13</v>
      </c>
      <c r="I7" s="533"/>
      <c r="J7" s="533"/>
      <c r="K7" s="535"/>
      <c r="O7" s="24"/>
      <c r="IE7" s="320"/>
      <c r="IF7" s="320"/>
      <c r="IG7" s="320"/>
      <c r="IH7" s="320"/>
      <c r="II7" s="320"/>
      <c r="IJ7" s="320"/>
    </row>
    <row r="8" spans="2:259" ht="13.5" thickBot="1" x14ac:dyDescent="0.25"/>
    <row r="9" spans="2:259" ht="15" customHeight="1" x14ac:dyDescent="0.2">
      <c r="B9" s="927" t="s">
        <v>113</v>
      </c>
      <c r="C9" s="929" t="s">
        <v>73</v>
      </c>
      <c r="D9" s="929" t="s">
        <v>74</v>
      </c>
      <c r="E9" s="930" t="s">
        <v>3</v>
      </c>
      <c r="F9" s="925" t="s">
        <v>81</v>
      </c>
      <c r="G9" s="944" t="s">
        <v>254</v>
      </c>
      <c r="H9" s="946" t="s">
        <v>269</v>
      </c>
      <c r="I9" s="948" t="s">
        <v>115</v>
      </c>
      <c r="J9" s="948" t="s">
        <v>116</v>
      </c>
      <c r="K9" s="940" t="s">
        <v>267</v>
      </c>
      <c r="L9" s="942" t="s">
        <v>114</v>
      </c>
      <c r="O9" s="26"/>
      <c r="P9" s="26"/>
      <c r="Q9" s="26"/>
      <c r="R9" s="26"/>
      <c r="S9" s="26"/>
      <c r="T9" s="26"/>
    </row>
    <row r="10" spans="2:259" ht="26.25" customHeight="1" thickBot="1" x14ac:dyDescent="0.25">
      <c r="B10" s="928"/>
      <c r="C10" s="853"/>
      <c r="D10" s="853"/>
      <c r="E10" s="855"/>
      <c r="F10" s="926"/>
      <c r="G10" s="945"/>
      <c r="H10" s="947"/>
      <c r="I10" s="949"/>
      <c r="J10" s="949"/>
      <c r="K10" s="941"/>
      <c r="L10" s="943"/>
      <c r="M10" s="323"/>
      <c r="N10" s="44"/>
      <c r="O10" s="44"/>
      <c r="P10" s="322"/>
      <c r="Q10" s="322"/>
      <c r="R10" s="322"/>
      <c r="S10" s="323"/>
      <c r="T10" s="920"/>
      <c r="U10" s="920"/>
      <c r="V10" s="920"/>
      <c r="W10" s="920"/>
      <c r="X10" s="323"/>
    </row>
    <row r="11" spans="2:259" s="319" customFormat="1" x14ac:dyDescent="0.2">
      <c r="B11" s="921" t="str">
        <f>+'B) Reajuste Tarifas y Ocupación'!A12</f>
        <v>Jardín Infantil Olitas de Mar</v>
      </c>
      <c r="C11" s="475" t="s">
        <v>270</v>
      </c>
      <c r="D11" s="338"/>
      <c r="E11" s="338" t="s">
        <v>255</v>
      </c>
      <c r="F11" s="471" t="s">
        <v>208</v>
      </c>
      <c r="G11" s="467">
        <f>837335*12</f>
        <v>10048020</v>
      </c>
      <c r="H11" s="564">
        <f>+G11*(1+$H$7)</f>
        <v>11354262.6</v>
      </c>
      <c r="I11" s="705">
        <v>151001</v>
      </c>
      <c r="J11" s="706">
        <v>145638</v>
      </c>
      <c r="K11" s="564">
        <f>SUM(H11:J11)</f>
        <v>11650901.6</v>
      </c>
      <c r="L11" s="923">
        <f>SUM(K11:K22)</f>
        <v>58734835.999999993</v>
      </c>
      <c r="M11" s="711"/>
      <c r="N11" s="327"/>
      <c r="O11" s="327"/>
      <c r="P11" s="45"/>
      <c r="Q11" s="45"/>
      <c r="R11" s="45"/>
      <c r="S11" s="325"/>
      <c r="T11" s="324"/>
      <c r="U11" s="324"/>
      <c r="V11" s="324"/>
      <c r="W11" s="324"/>
      <c r="X11" s="326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0"/>
      <c r="CC11" s="320"/>
      <c r="CD11" s="320"/>
      <c r="CE11" s="320"/>
      <c r="CF11" s="320"/>
      <c r="CG11" s="320"/>
      <c r="CH11" s="320"/>
      <c r="CI11" s="320"/>
      <c r="CJ11" s="320"/>
      <c r="CK11" s="320"/>
      <c r="CL11" s="320"/>
      <c r="CM11" s="320"/>
      <c r="CN11" s="320"/>
      <c r="CO11" s="320"/>
      <c r="CP11" s="320"/>
      <c r="CQ11" s="320"/>
      <c r="CR11" s="320"/>
      <c r="CS11" s="320"/>
      <c r="CT11" s="320"/>
      <c r="CU11" s="320"/>
      <c r="CV11" s="320"/>
      <c r="CW11" s="320"/>
      <c r="CX11" s="320"/>
      <c r="CY11" s="320"/>
      <c r="CZ11" s="320"/>
      <c r="DA11" s="320"/>
      <c r="DB11" s="320"/>
      <c r="DC11" s="320"/>
      <c r="DD11" s="320"/>
      <c r="DE11" s="320"/>
      <c r="DF11" s="320"/>
      <c r="DG11" s="320"/>
      <c r="DH11" s="320"/>
      <c r="DI11" s="320"/>
      <c r="DJ11" s="320"/>
      <c r="DK11" s="320"/>
      <c r="DL11" s="320"/>
      <c r="DM11" s="320"/>
      <c r="DN11" s="320"/>
      <c r="DO11" s="320"/>
      <c r="DP11" s="320"/>
      <c r="DQ11" s="320"/>
      <c r="DR11" s="320"/>
      <c r="DS11" s="320"/>
      <c r="DT11" s="320"/>
      <c r="DU11" s="320"/>
      <c r="DV11" s="320"/>
      <c r="DW11" s="320"/>
      <c r="DX11" s="320"/>
      <c r="DY11" s="320"/>
      <c r="DZ11" s="320"/>
      <c r="EA11" s="320"/>
      <c r="EB11" s="320"/>
      <c r="EC11" s="320"/>
      <c r="ED11" s="320"/>
      <c r="EE11" s="320"/>
      <c r="EF11" s="320"/>
      <c r="EG11" s="320"/>
      <c r="EH11" s="320"/>
      <c r="EI11" s="320"/>
      <c r="EJ11" s="320"/>
      <c r="EK11" s="320"/>
      <c r="EL11" s="320"/>
      <c r="EM11" s="320"/>
      <c r="EN11" s="320"/>
      <c r="EO11" s="320"/>
      <c r="EP11" s="320"/>
      <c r="EQ11" s="320"/>
      <c r="ER11" s="320"/>
      <c r="ES11" s="320"/>
      <c r="ET11" s="320"/>
      <c r="EU11" s="320"/>
      <c r="EV11" s="320"/>
      <c r="EW11" s="320"/>
      <c r="EX11" s="320"/>
      <c r="EY11" s="320"/>
      <c r="EZ11" s="320"/>
      <c r="FA11" s="320"/>
      <c r="FB11" s="320"/>
      <c r="FC11" s="320"/>
      <c r="FD11" s="320"/>
      <c r="FE11" s="320"/>
      <c r="FF11" s="320"/>
      <c r="FG11" s="320"/>
      <c r="FH11" s="320"/>
      <c r="FI11" s="320"/>
      <c r="FJ11" s="320"/>
      <c r="FK11" s="320"/>
      <c r="FL11" s="320"/>
      <c r="FM11" s="320"/>
      <c r="FN11" s="320"/>
      <c r="FO11" s="320"/>
      <c r="FP11" s="320"/>
      <c r="FQ11" s="320"/>
      <c r="FR11" s="320"/>
      <c r="FS11" s="320"/>
      <c r="FT11" s="320"/>
      <c r="FU11" s="320"/>
      <c r="FV11" s="320"/>
      <c r="FW11" s="320"/>
      <c r="FX11" s="320"/>
      <c r="FY11" s="320"/>
      <c r="FZ11" s="320"/>
      <c r="GA11" s="320"/>
      <c r="GB11" s="320"/>
      <c r="GC11" s="320"/>
      <c r="GD11" s="320"/>
      <c r="GE11" s="320"/>
      <c r="GF11" s="320"/>
      <c r="GG11" s="320"/>
      <c r="GH11" s="320"/>
      <c r="GI11" s="320"/>
      <c r="GJ11" s="320"/>
      <c r="GK11" s="320"/>
      <c r="GL11" s="320"/>
      <c r="GM11" s="320"/>
      <c r="GN11" s="320"/>
      <c r="GO11" s="320"/>
      <c r="GP11" s="320"/>
      <c r="GQ11" s="320"/>
      <c r="GR11" s="320"/>
      <c r="GS11" s="320"/>
      <c r="GT11" s="320"/>
      <c r="GU11" s="320"/>
      <c r="GV11" s="320"/>
      <c r="GW11" s="320"/>
      <c r="GX11" s="320"/>
      <c r="GY11" s="320"/>
      <c r="GZ11" s="320"/>
      <c r="HA11" s="320"/>
      <c r="HB11" s="320"/>
      <c r="HC11" s="320"/>
      <c r="HD11" s="320"/>
      <c r="HE11" s="320"/>
      <c r="HF11" s="320"/>
      <c r="HG11" s="320"/>
      <c r="HH11" s="320"/>
      <c r="HI11" s="320"/>
      <c r="HJ11" s="320"/>
      <c r="HK11" s="320"/>
      <c r="HL11" s="320"/>
      <c r="HM11" s="320"/>
      <c r="HN11" s="320"/>
      <c r="HO11" s="320"/>
      <c r="HP11" s="320"/>
      <c r="HQ11" s="320"/>
      <c r="HR11" s="320"/>
      <c r="HS11" s="320"/>
      <c r="HT11" s="320"/>
      <c r="HU11" s="320"/>
      <c r="HV11" s="320"/>
      <c r="HW11" s="320"/>
      <c r="HX11" s="320"/>
      <c r="HY11" s="320"/>
      <c r="HZ11" s="320"/>
      <c r="IA11" s="320"/>
      <c r="IB11" s="320"/>
      <c r="IC11" s="320"/>
      <c r="ID11" s="320"/>
      <c r="IE11" s="320"/>
      <c r="IF11" s="320"/>
      <c r="IG11" s="320"/>
      <c r="IH11" s="320"/>
      <c r="II11" s="320"/>
      <c r="IJ11" s="320"/>
      <c r="IK11" s="320"/>
      <c r="IL11" s="320"/>
      <c r="IM11" s="320"/>
      <c r="IN11" s="320"/>
      <c r="IO11" s="320"/>
      <c r="IP11" s="320"/>
      <c r="IQ11" s="320"/>
      <c r="IR11" s="320"/>
      <c r="IS11" s="320"/>
      <c r="IT11" s="320"/>
      <c r="IU11" s="320"/>
      <c r="IV11" s="320"/>
      <c r="IW11" s="320"/>
      <c r="IX11" s="320"/>
      <c r="IY11" s="320"/>
    </row>
    <row r="12" spans="2:259" s="319" customFormat="1" x14ac:dyDescent="0.2">
      <c r="B12" s="922"/>
      <c r="C12" s="478" t="s">
        <v>271</v>
      </c>
      <c r="D12" s="331" t="s">
        <v>272</v>
      </c>
      <c r="E12" s="331" t="s">
        <v>257</v>
      </c>
      <c r="F12" s="307" t="s">
        <v>208</v>
      </c>
      <c r="G12" s="468">
        <f>656285*12</f>
        <v>7875420</v>
      </c>
      <c r="H12" s="565">
        <f t="shared" ref="H12:H30" si="0">+G12*(1+$H$7)</f>
        <v>8899224.5999999996</v>
      </c>
      <c r="I12" s="328">
        <f t="shared" ref="I12:I15" si="1">101037+171709</f>
        <v>272746</v>
      </c>
      <c r="J12" s="705">
        <v>149030</v>
      </c>
      <c r="K12" s="565">
        <f t="shared" ref="K12:K30" si="2">SUM(H12:J12)</f>
        <v>9321000.5999999996</v>
      </c>
      <c r="L12" s="924"/>
      <c r="M12" s="323"/>
      <c r="N12" s="327"/>
      <c r="O12" s="327"/>
      <c r="P12" s="322"/>
      <c r="Q12" s="322"/>
      <c r="R12" s="322"/>
      <c r="S12" s="325"/>
      <c r="T12" s="324"/>
      <c r="U12" s="324"/>
      <c r="V12" s="324"/>
      <c r="W12" s="324"/>
      <c r="X12" s="326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320"/>
      <c r="CB12" s="320"/>
      <c r="CC12" s="320"/>
      <c r="CD12" s="320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320"/>
      <c r="CT12" s="320"/>
      <c r="CU12" s="320"/>
      <c r="CV12" s="320"/>
      <c r="CW12" s="320"/>
      <c r="CX12" s="320"/>
      <c r="CY12" s="320"/>
      <c r="CZ12" s="320"/>
      <c r="DA12" s="320"/>
      <c r="DB12" s="320"/>
      <c r="DC12" s="320"/>
      <c r="DD12" s="320"/>
      <c r="DE12" s="320"/>
      <c r="DF12" s="320"/>
      <c r="DG12" s="320"/>
      <c r="DH12" s="320"/>
      <c r="DI12" s="320"/>
      <c r="DJ12" s="320"/>
      <c r="DK12" s="320"/>
      <c r="DL12" s="320"/>
      <c r="DM12" s="320"/>
      <c r="DN12" s="320"/>
      <c r="DO12" s="320"/>
      <c r="DP12" s="320"/>
      <c r="DQ12" s="320"/>
      <c r="DR12" s="320"/>
      <c r="DS12" s="320"/>
      <c r="DT12" s="320"/>
      <c r="DU12" s="320"/>
      <c r="DV12" s="320"/>
      <c r="DW12" s="320"/>
      <c r="DX12" s="320"/>
      <c r="DY12" s="320"/>
      <c r="DZ12" s="320"/>
      <c r="EA12" s="320"/>
      <c r="EB12" s="320"/>
      <c r="EC12" s="320"/>
      <c r="ED12" s="320"/>
      <c r="EE12" s="320"/>
      <c r="EF12" s="320"/>
      <c r="EG12" s="320"/>
      <c r="EH12" s="320"/>
      <c r="EI12" s="320"/>
      <c r="EJ12" s="320"/>
      <c r="EK12" s="320"/>
      <c r="EL12" s="320"/>
      <c r="EM12" s="320"/>
      <c r="EN12" s="320"/>
      <c r="EO12" s="320"/>
      <c r="EP12" s="320"/>
      <c r="EQ12" s="320"/>
      <c r="ER12" s="320"/>
      <c r="ES12" s="320"/>
      <c r="ET12" s="320"/>
      <c r="EU12" s="320"/>
      <c r="EV12" s="320"/>
      <c r="EW12" s="320"/>
      <c r="EX12" s="320"/>
      <c r="EY12" s="320"/>
      <c r="EZ12" s="320"/>
      <c r="FA12" s="320"/>
      <c r="FB12" s="320"/>
      <c r="FC12" s="320"/>
      <c r="FD12" s="320"/>
      <c r="FE12" s="320"/>
      <c r="FF12" s="320"/>
      <c r="FG12" s="320"/>
      <c r="FH12" s="320"/>
      <c r="FI12" s="320"/>
      <c r="FJ12" s="320"/>
      <c r="FK12" s="320"/>
      <c r="FL12" s="320"/>
      <c r="FM12" s="320"/>
      <c r="FN12" s="320"/>
      <c r="FO12" s="320"/>
      <c r="FP12" s="320"/>
      <c r="FQ12" s="320"/>
      <c r="FR12" s="320"/>
      <c r="FS12" s="320"/>
      <c r="FT12" s="320"/>
      <c r="FU12" s="320"/>
      <c r="FV12" s="320"/>
      <c r="FW12" s="320"/>
      <c r="FX12" s="320"/>
      <c r="FY12" s="320"/>
      <c r="FZ12" s="320"/>
      <c r="GA12" s="320"/>
      <c r="GB12" s="320"/>
      <c r="GC12" s="320"/>
      <c r="GD12" s="320"/>
      <c r="GE12" s="320"/>
      <c r="GF12" s="320"/>
      <c r="GG12" s="320"/>
      <c r="GH12" s="320"/>
      <c r="GI12" s="320"/>
      <c r="GJ12" s="320"/>
      <c r="GK12" s="320"/>
      <c r="GL12" s="320"/>
      <c r="GM12" s="320"/>
      <c r="GN12" s="320"/>
      <c r="GO12" s="320"/>
      <c r="GP12" s="320"/>
      <c r="GQ12" s="320"/>
      <c r="GR12" s="320"/>
      <c r="GS12" s="320"/>
      <c r="GT12" s="320"/>
      <c r="GU12" s="320"/>
      <c r="GV12" s="320"/>
      <c r="GW12" s="320"/>
      <c r="GX12" s="320"/>
      <c r="GY12" s="320"/>
      <c r="GZ12" s="320"/>
      <c r="HA12" s="320"/>
      <c r="HB12" s="320"/>
      <c r="HC12" s="320"/>
      <c r="HD12" s="320"/>
      <c r="HE12" s="320"/>
      <c r="HF12" s="320"/>
      <c r="HG12" s="320"/>
      <c r="HH12" s="320"/>
      <c r="HI12" s="320"/>
      <c r="HJ12" s="320"/>
      <c r="HK12" s="320"/>
      <c r="HL12" s="320"/>
      <c r="HM12" s="320"/>
      <c r="HN12" s="320"/>
      <c r="HO12" s="320"/>
      <c r="HP12" s="320"/>
      <c r="HQ12" s="320"/>
      <c r="HR12" s="320"/>
      <c r="HS12" s="320"/>
      <c r="HT12" s="320"/>
      <c r="HU12" s="320"/>
      <c r="HV12" s="320"/>
      <c r="HW12" s="320"/>
      <c r="HX12" s="320"/>
      <c r="HY12" s="320"/>
      <c r="HZ12" s="320"/>
      <c r="IA12" s="320"/>
      <c r="IB12" s="320"/>
      <c r="IC12" s="320"/>
      <c r="ID12" s="320"/>
      <c r="IE12" s="320"/>
      <c r="IF12" s="320"/>
      <c r="IG12" s="320"/>
      <c r="IH12" s="320"/>
      <c r="II12" s="320"/>
      <c r="IJ12" s="320"/>
      <c r="IK12" s="320"/>
      <c r="IL12" s="320"/>
      <c r="IM12" s="320"/>
      <c r="IN12" s="320"/>
      <c r="IO12" s="320"/>
      <c r="IP12" s="320"/>
      <c r="IQ12" s="320"/>
      <c r="IR12" s="320"/>
      <c r="IS12" s="320"/>
      <c r="IT12" s="320"/>
      <c r="IU12" s="320"/>
      <c r="IV12" s="320"/>
      <c r="IW12" s="320"/>
      <c r="IX12" s="320"/>
      <c r="IY12" s="320"/>
    </row>
    <row r="13" spans="2:259" s="319" customFormat="1" x14ac:dyDescent="0.2">
      <c r="B13" s="922"/>
      <c r="C13" s="478" t="s">
        <v>273</v>
      </c>
      <c r="D13" s="331" t="s">
        <v>274</v>
      </c>
      <c r="E13" s="331" t="s">
        <v>257</v>
      </c>
      <c r="F13" s="307" t="s">
        <v>208</v>
      </c>
      <c r="G13" s="468">
        <f>636166*12</f>
        <v>7633992</v>
      </c>
      <c r="H13" s="565">
        <f t="shared" si="0"/>
        <v>8626410.959999999</v>
      </c>
      <c r="I13" s="328">
        <f t="shared" si="1"/>
        <v>272746</v>
      </c>
      <c r="J13" s="705">
        <v>149030</v>
      </c>
      <c r="K13" s="565">
        <f t="shared" si="2"/>
        <v>9048186.959999999</v>
      </c>
      <c r="L13" s="924"/>
      <c r="M13" s="323"/>
      <c r="N13" s="327"/>
      <c r="O13" s="327"/>
      <c r="P13" s="322"/>
      <c r="Q13" s="322"/>
      <c r="R13" s="322"/>
      <c r="S13" s="325"/>
      <c r="T13" s="324"/>
      <c r="U13" s="324"/>
      <c r="V13" s="324"/>
      <c r="W13" s="324"/>
      <c r="X13" s="326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  <c r="CF13" s="320"/>
      <c r="CG13" s="320"/>
      <c r="CH13" s="320"/>
      <c r="CI13" s="320"/>
      <c r="CJ13" s="320"/>
      <c r="CK13" s="320"/>
      <c r="CL13" s="320"/>
      <c r="CM13" s="320"/>
      <c r="CN13" s="320"/>
      <c r="CO13" s="320"/>
      <c r="CP13" s="320"/>
      <c r="CQ13" s="320"/>
      <c r="CR13" s="320"/>
      <c r="CS13" s="320"/>
      <c r="CT13" s="320"/>
      <c r="CU13" s="320"/>
      <c r="CV13" s="320"/>
      <c r="CW13" s="320"/>
      <c r="CX13" s="320"/>
      <c r="CY13" s="320"/>
      <c r="CZ13" s="320"/>
      <c r="DA13" s="320"/>
      <c r="DB13" s="320"/>
      <c r="DC13" s="320"/>
      <c r="DD13" s="320"/>
      <c r="DE13" s="320"/>
      <c r="DF13" s="320"/>
      <c r="DG13" s="320"/>
      <c r="DH13" s="320"/>
      <c r="DI13" s="320"/>
      <c r="DJ13" s="320"/>
      <c r="DK13" s="320"/>
      <c r="DL13" s="320"/>
      <c r="DM13" s="320"/>
      <c r="DN13" s="320"/>
      <c r="DO13" s="320"/>
      <c r="DP13" s="320"/>
      <c r="DQ13" s="320"/>
      <c r="DR13" s="320"/>
      <c r="DS13" s="320"/>
      <c r="DT13" s="320"/>
      <c r="DU13" s="320"/>
      <c r="DV13" s="320"/>
      <c r="DW13" s="320"/>
      <c r="DX13" s="320"/>
      <c r="DY13" s="320"/>
      <c r="DZ13" s="320"/>
      <c r="EA13" s="320"/>
      <c r="EB13" s="320"/>
      <c r="EC13" s="320"/>
      <c r="ED13" s="320"/>
      <c r="EE13" s="320"/>
      <c r="EF13" s="320"/>
      <c r="EG13" s="320"/>
      <c r="EH13" s="320"/>
      <c r="EI13" s="320"/>
      <c r="EJ13" s="320"/>
      <c r="EK13" s="320"/>
      <c r="EL13" s="320"/>
      <c r="EM13" s="320"/>
      <c r="EN13" s="320"/>
      <c r="EO13" s="320"/>
      <c r="EP13" s="320"/>
      <c r="EQ13" s="320"/>
      <c r="ER13" s="320"/>
      <c r="ES13" s="320"/>
      <c r="ET13" s="320"/>
      <c r="EU13" s="320"/>
      <c r="EV13" s="320"/>
      <c r="EW13" s="320"/>
      <c r="EX13" s="320"/>
      <c r="EY13" s="320"/>
      <c r="EZ13" s="320"/>
      <c r="FA13" s="320"/>
      <c r="FB13" s="320"/>
      <c r="FC13" s="320"/>
      <c r="FD13" s="320"/>
      <c r="FE13" s="320"/>
      <c r="FF13" s="320"/>
      <c r="FG13" s="320"/>
      <c r="FH13" s="320"/>
      <c r="FI13" s="320"/>
      <c r="FJ13" s="320"/>
      <c r="FK13" s="320"/>
      <c r="FL13" s="320"/>
      <c r="FM13" s="320"/>
      <c r="FN13" s="320"/>
      <c r="FO13" s="320"/>
      <c r="FP13" s="320"/>
      <c r="FQ13" s="320"/>
      <c r="FR13" s="320"/>
      <c r="FS13" s="320"/>
      <c r="FT13" s="320"/>
      <c r="FU13" s="320"/>
      <c r="FV13" s="320"/>
      <c r="FW13" s="320"/>
      <c r="FX13" s="320"/>
      <c r="FY13" s="320"/>
      <c r="FZ13" s="320"/>
      <c r="GA13" s="320"/>
      <c r="GB13" s="320"/>
      <c r="GC13" s="320"/>
      <c r="GD13" s="320"/>
      <c r="GE13" s="320"/>
      <c r="GF13" s="320"/>
      <c r="GG13" s="320"/>
      <c r="GH13" s="320"/>
      <c r="GI13" s="320"/>
      <c r="GJ13" s="320"/>
      <c r="GK13" s="320"/>
      <c r="GL13" s="320"/>
      <c r="GM13" s="320"/>
      <c r="GN13" s="320"/>
      <c r="GO13" s="320"/>
      <c r="GP13" s="320"/>
      <c r="GQ13" s="320"/>
      <c r="GR13" s="320"/>
      <c r="GS13" s="320"/>
      <c r="GT13" s="320"/>
      <c r="GU13" s="320"/>
      <c r="GV13" s="320"/>
      <c r="GW13" s="320"/>
      <c r="GX13" s="320"/>
      <c r="GY13" s="320"/>
      <c r="GZ13" s="320"/>
      <c r="HA13" s="320"/>
      <c r="HB13" s="320"/>
      <c r="HC13" s="320"/>
      <c r="HD13" s="320"/>
      <c r="HE13" s="320"/>
      <c r="HF13" s="320"/>
      <c r="HG13" s="320"/>
      <c r="HH13" s="320"/>
      <c r="HI13" s="320"/>
      <c r="HJ13" s="320"/>
      <c r="HK13" s="320"/>
      <c r="HL13" s="320"/>
      <c r="HM13" s="320"/>
      <c r="HN13" s="320"/>
      <c r="HO13" s="320"/>
      <c r="HP13" s="320"/>
      <c r="HQ13" s="320"/>
      <c r="HR13" s="320"/>
      <c r="HS13" s="320"/>
      <c r="HT13" s="320"/>
      <c r="HU13" s="320"/>
      <c r="HV13" s="320"/>
      <c r="HW13" s="320"/>
      <c r="HX13" s="320"/>
      <c r="HY13" s="320"/>
      <c r="HZ13" s="320"/>
      <c r="IA13" s="320"/>
      <c r="IB13" s="320"/>
      <c r="IC13" s="320"/>
      <c r="ID13" s="320"/>
      <c r="IE13" s="320"/>
      <c r="IF13" s="320"/>
      <c r="IG13" s="320"/>
      <c r="IH13" s="320"/>
      <c r="II13" s="320"/>
      <c r="IJ13" s="320"/>
      <c r="IK13" s="320"/>
      <c r="IL13" s="320"/>
      <c r="IM13" s="320"/>
      <c r="IN13" s="320"/>
      <c r="IO13" s="320"/>
      <c r="IP13" s="320"/>
      <c r="IQ13" s="320"/>
      <c r="IR13" s="320"/>
      <c r="IS13" s="320"/>
      <c r="IT13" s="320"/>
      <c r="IU13" s="320"/>
      <c r="IV13" s="320"/>
      <c r="IW13" s="320"/>
      <c r="IX13" s="320"/>
      <c r="IY13" s="320"/>
    </row>
    <row r="14" spans="2:259" s="319" customFormat="1" x14ac:dyDescent="0.2">
      <c r="B14" s="922"/>
      <c r="C14" s="478" t="s">
        <v>275</v>
      </c>
      <c r="D14" s="331" t="s">
        <v>276</v>
      </c>
      <c r="E14" s="331" t="s">
        <v>257</v>
      </c>
      <c r="F14" s="307" t="s">
        <v>208</v>
      </c>
      <c r="G14" s="468">
        <f>525612*12</f>
        <v>6307344</v>
      </c>
      <c r="H14" s="565">
        <f t="shared" si="0"/>
        <v>7127298.7199999997</v>
      </c>
      <c r="I14" s="328">
        <f t="shared" si="1"/>
        <v>272746</v>
      </c>
      <c r="J14" s="705">
        <v>149030</v>
      </c>
      <c r="K14" s="565">
        <f t="shared" si="2"/>
        <v>7549074.7199999997</v>
      </c>
      <c r="L14" s="924"/>
      <c r="M14" s="323"/>
      <c r="N14" s="327"/>
      <c r="O14" s="327"/>
      <c r="P14" s="322"/>
      <c r="Q14" s="322"/>
      <c r="R14" s="322"/>
      <c r="S14" s="325"/>
      <c r="T14" s="324"/>
      <c r="U14" s="324"/>
      <c r="V14" s="324"/>
      <c r="W14" s="324"/>
      <c r="X14" s="326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320"/>
      <c r="BY14" s="320"/>
      <c r="BZ14" s="320"/>
      <c r="CA14" s="320"/>
      <c r="CB14" s="320"/>
      <c r="CC14" s="320"/>
      <c r="CD14" s="320"/>
      <c r="CE14" s="320"/>
      <c r="CF14" s="320"/>
      <c r="CG14" s="320"/>
      <c r="CH14" s="320"/>
      <c r="CI14" s="320"/>
      <c r="CJ14" s="320"/>
      <c r="CK14" s="320"/>
      <c r="CL14" s="320"/>
      <c r="CM14" s="320"/>
      <c r="CN14" s="320"/>
      <c r="CO14" s="320"/>
      <c r="CP14" s="320"/>
      <c r="CQ14" s="320"/>
      <c r="CR14" s="320"/>
      <c r="CS14" s="320"/>
      <c r="CT14" s="320"/>
      <c r="CU14" s="320"/>
      <c r="CV14" s="320"/>
      <c r="CW14" s="320"/>
      <c r="CX14" s="320"/>
      <c r="CY14" s="320"/>
      <c r="CZ14" s="320"/>
      <c r="DA14" s="320"/>
      <c r="DB14" s="320"/>
      <c r="DC14" s="320"/>
      <c r="DD14" s="320"/>
      <c r="DE14" s="320"/>
      <c r="DF14" s="320"/>
      <c r="DG14" s="320"/>
      <c r="DH14" s="320"/>
      <c r="DI14" s="320"/>
      <c r="DJ14" s="320"/>
      <c r="DK14" s="320"/>
      <c r="DL14" s="320"/>
      <c r="DM14" s="320"/>
      <c r="DN14" s="320"/>
      <c r="DO14" s="320"/>
      <c r="DP14" s="320"/>
      <c r="DQ14" s="320"/>
      <c r="DR14" s="320"/>
      <c r="DS14" s="320"/>
      <c r="DT14" s="320"/>
      <c r="DU14" s="320"/>
      <c r="DV14" s="320"/>
      <c r="DW14" s="320"/>
      <c r="DX14" s="320"/>
      <c r="DY14" s="320"/>
      <c r="DZ14" s="320"/>
      <c r="EA14" s="320"/>
      <c r="EB14" s="320"/>
      <c r="EC14" s="320"/>
      <c r="ED14" s="320"/>
      <c r="EE14" s="320"/>
      <c r="EF14" s="320"/>
      <c r="EG14" s="320"/>
      <c r="EH14" s="320"/>
      <c r="EI14" s="320"/>
      <c r="EJ14" s="320"/>
      <c r="EK14" s="320"/>
      <c r="EL14" s="320"/>
      <c r="EM14" s="320"/>
      <c r="EN14" s="320"/>
      <c r="EO14" s="320"/>
      <c r="EP14" s="320"/>
      <c r="EQ14" s="320"/>
      <c r="ER14" s="320"/>
      <c r="ES14" s="320"/>
      <c r="ET14" s="320"/>
      <c r="EU14" s="320"/>
      <c r="EV14" s="320"/>
      <c r="EW14" s="320"/>
      <c r="EX14" s="320"/>
      <c r="EY14" s="320"/>
      <c r="EZ14" s="320"/>
      <c r="FA14" s="320"/>
      <c r="FB14" s="320"/>
      <c r="FC14" s="320"/>
      <c r="FD14" s="320"/>
      <c r="FE14" s="320"/>
      <c r="FF14" s="320"/>
      <c r="FG14" s="320"/>
      <c r="FH14" s="320"/>
      <c r="FI14" s="320"/>
      <c r="FJ14" s="320"/>
      <c r="FK14" s="320"/>
      <c r="FL14" s="320"/>
      <c r="FM14" s="320"/>
      <c r="FN14" s="320"/>
      <c r="FO14" s="320"/>
      <c r="FP14" s="320"/>
      <c r="FQ14" s="320"/>
      <c r="FR14" s="320"/>
      <c r="FS14" s="320"/>
      <c r="FT14" s="320"/>
      <c r="FU14" s="320"/>
      <c r="FV14" s="320"/>
      <c r="FW14" s="320"/>
      <c r="FX14" s="320"/>
      <c r="FY14" s="320"/>
      <c r="FZ14" s="320"/>
      <c r="GA14" s="320"/>
      <c r="GB14" s="320"/>
      <c r="GC14" s="320"/>
      <c r="GD14" s="320"/>
      <c r="GE14" s="320"/>
      <c r="GF14" s="320"/>
      <c r="GG14" s="320"/>
      <c r="GH14" s="320"/>
      <c r="GI14" s="320"/>
      <c r="GJ14" s="320"/>
      <c r="GK14" s="320"/>
      <c r="GL14" s="320"/>
      <c r="GM14" s="320"/>
      <c r="GN14" s="320"/>
      <c r="GO14" s="320"/>
      <c r="GP14" s="320"/>
      <c r="GQ14" s="320"/>
      <c r="GR14" s="320"/>
      <c r="GS14" s="320"/>
      <c r="GT14" s="320"/>
      <c r="GU14" s="320"/>
      <c r="GV14" s="320"/>
      <c r="GW14" s="320"/>
      <c r="GX14" s="320"/>
      <c r="GY14" s="320"/>
      <c r="GZ14" s="320"/>
      <c r="HA14" s="320"/>
      <c r="HB14" s="320"/>
      <c r="HC14" s="320"/>
      <c r="HD14" s="320"/>
      <c r="HE14" s="320"/>
      <c r="HF14" s="320"/>
      <c r="HG14" s="320"/>
      <c r="HH14" s="320"/>
      <c r="HI14" s="320"/>
      <c r="HJ14" s="320"/>
      <c r="HK14" s="320"/>
      <c r="HL14" s="320"/>
      <c r="HM14" s="320"/>
      <c r="HN14" s="320"/>
      <c r="HO14" s="320"/>
      <c r="HP14" s="320"/>
      <c r="HQ14" s="320"/>
      <c r="HR14" s="320"/>
      <c r="HS14" s="320"/>
      <c r="HT14" s="320"/>
      <c r="HU14" s="320"/>
      <c r="HV14" s="320"/>
      <c r="HW14" s="320"/>
      <c r="HX14" s="320"/>
      <c r="HY14" s="320"/>
      <c r="HZ14" s="320"/>
      <c r="IA14" s="320"/>
      <c r="IB14" s="320"/>
      <c r="IC14" s="320"/>
      <c r="ID14" s="320"/>
      <c r="IE14" s="320"/>
      <c r="IF14" s="320"/>
      <c r="IG14" s="320"/>
      <c r="IH14" s="320"/>
      <c r="II14" s="320"/>
      <c r="IJ14" s="320"/>
      <c r="IK14" s="320"/>
      <c r="IL14" s="320"/>
      <c r="IM14" s="320"/>
      <c r="IN14" s="320"/>
      <c r="IO14" s="320"/>
      <c r="IP14" s="320"/>
      <c r="IQ14" s="320"/>
      <c r="IR14" s="320"/>
      <c r="IS14" s="320"/>
      <c r="IT14" s="320"/>
      <c r="IU14" s="320"/>
      <c r="IV14" s="320"/>
      <c r="IW14" s="320"/>
      <c r="IX14" s="320"/>
      <c r="IY14" s="320"/>
    </row>
    <row r="15" spans="2:259" s="319" customFormat="1" x14ac:dyDescent="0.2">
      <c r="B15" s="922"/>
      <c r="C15" s="478" t="s">
        <v>277</v>
      </c>
      <c r="D15" s="331" t="s">
        <v>278</v>
      </c>
      <c r="E15" s="331" t="s">
        <v>258</v>
      </c>
      <c r="F15" s="307" t="s">
        <v>208</v>
      </c>
      <c r="G15" s="468">
        <v>4996236</v>
      </c>
      <c r="H15" s="565">
        <f t="shared" si="0"/>
        <v>5645746.6799999997</v>
      </c>
      <c r="I15" s="328">
        <f t="shared" si="1"/>
        <v>272746</v>
      </c>
      <c r="J15" s="705">
        <v>149030</v>
      </c>
      <c r="K15" s="565">
        <f t="shared" si="2"/>
        <v>6067522.6799999997</v>
      </c>
      <c r="L15" s="924"/>
      <c r="M15" s="323"/>
      <c r="N15" s="327"/>
      <c r="O15" s="327"/>
      <c r="P15" s="322"/>
      <c r="Q15" s="322"/>
      <c r="R15" s="322"/>
      <c r="S15" s="325"/>
      <c r="T15" s="324"/>
      <c r="U15" s="324"/>
      <c r="V15" s="324"/>
      <c r="W15" s="324"/>
      <c r="X15" s="326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  <c r="CA15" s="320"/>
      <c r="CB15" s="320"/>
      <c r="CC15" s="320"/>
      <c r="CD15" s="320"/>
      <c r="CE15" s="320"/>
      <c r="CF15" s="320"/>
      <c r="CG15" s="320"/>
      <c r="CH15" s="320"/>
      <c r="CI15" s="320"/>
      <c r="CJ15" s="320"/>
      <c r="CK15" s="320"/>
      <c r="CL15" s="320"/>
      <c r="CM15" s="320"/>
      <c r="CN15" s="320"/>
      <c r="CO15" s="320"/>
      <c r="CP15" s="320"/>
      <c r="CQ15" s="320"/>
      <c r="CR15" s="320"/>
      <c r="CS15" s="320"/>
      <c r="CT15" s="320"/>
      <c r="CU15" s="320"/>
      <c r="CV15" s="320"/>
      <c r="CW15" s="320"/>
      <c r="CX15" s="320"/>
      <c r="CY15" s="320"/>
      <c r="CZ15" s="320"/>
      <c r="DA15" s="320"/>
      <c r="DB15" s="320"/>
      <c r="DC15" s="320"/>
      <c r="DD15" s="320"/>
      <c r="DE15" s="320"/>
      <c r="DF15" s="320"/>
      <c r="DG15" s="320"/>
      <c r="DH15" s="320"/>
      <c r="DI15" s="320"/>
      <c r="DJ15" s="320"/>
      <c r="DK15" s="320"/>
      <c r="DL15" s="320"/>
      <c r="DM15" s="320"/>
      <c r="DN15" s="320"/>
      <c r="DO15" s="320"/>
      <c r="DP15" s="320"/>
      <c r="DQ15" s="320"/>
      <c r="DR15" s="320"/>
      <c r="DS15" s="320"/>
      <c r="DT15" s="320"/>
      <c r="DU15" s="320"/>
      <c r="DV15" s="320"/>
      <c r="DW15" s="320"/>
      <c r="DX15" s="320"/>
      <c r="DY15" s="320"/>
      <c r="DZ15" s="320"/>
      <c r="EA15" s="320"/>
      <c r="EB15" s="320"/>
      <c r="EC15" s="320"/>
      <c r="ED15" s="320"/>
      <c r="EE15" s="320"/>
      <c r="EF15" s="320"/>
      <c r="EG15" s="320"/>
      <c r="EH15" s="320"/>
      <c r="EI15" s="320"/>
      <c r="EJ15" s="320"/>
      <c r="EK15" s="320"/>
      <c r="EL15" s="320"/>
      <c r="EM15" s="320"/>
      <c r="EN15" s="320"/>
      <c r="EO15" s="320"/>
      <c r="EP15" s="320"/>
      <c r="EQ15" s="320"/>
      <c r="ER15" s="320"/>
      <c r="ES15" s="320"/>
      <c r="ET15" s="320"/>
      <c r="EU15" s="320"/>
      <c r="EV15" s="320"/>
      <c r="EW15" s="320"/>
      <c r="EX15" s="320"/>
      <c r="EY15" s="320"/>
      <c r="EZ15" s="320"/>
      <c r="FA15" s="320"/>
      <c r="FB15" s="320"/>
      <c r="FC15" s="320"/>
      <c r="FD15" s="320"/>
      <c r="FE15" s="320"/>
      <c r="FF15" s="320"/>
      <c r="FG15" s="320"/>
      <c r="FH15" s="320"/>
      <c r="FI15" s="320"/>
      <c r="FJ15" s="320"/>
      <c r="FK15" s="320"/>
      <c r="FL15" s="320"/>
      <c r="FM15" s="320"/>
      <c r="FN15" s="320"/>
      <c r="FO15" s="320"/>
      <c r="FP15" s="320"/>
      <c r="FQ15" s="320"/>
      <c r="FR15" s="320"/>
      <c r="FS15" s="320"/>
      <c r="FT15" s="320"/>
      <c r="FU15" s="320"/>
      <c r="FV15" s="320"/>
      <c r="FW15" s="320"/>
      <c r="FX15" s="320"/>
      <c r="FY15" s="320"/>
      <c r="FZ15" s="320"/>
      <c r="GA15" s="320"/>
      <c r="GB15" s="320"/>
      <c r="GC15" s="320"/>
      <c r="GD15" s="320"/>
      <c r="GE15" s="320"/>
      <c r="GF15" s="320"/>
      <c r="GG15" s="320"/>
      <c r="GH15" s="320"/>
      <c r="GI15" s="320"/>
      <c r="GJ15" s="320"/>
      <c r="GK15" s="320"/>
      <c r="GL15" s="320"/>
      <c r="GM15" s="320"/>
      <c r="GN15" s="320"/>
      <c r="GO15" s="320"/>
      <c r="GP15" s="320"/>
      <c r="GQ15" s="320"/>
      <c r="GR15" s="320"/>
      <c r="GS15" s="320"/>
      <c r="GT15" s="320"/>
      <c r="GU15" s="320"/>
      <c r="GV15" s="320"/>
      <c r="GW15" s="320"/>
      <c r="GX15" s="320"/>
      <c r="GY15" s="320"/>
      <c r="GZ15" s="320"/>
      <c r="HA15" s="320"/>
      <c r="HB15" s="320"/>
      <c r="HC15" s="320"/>
      <c r="HD15" s="320"/>
      <c r="HE15" s="320"/>
      <c r="HF15" s="320"/>
      <c r="HG15" s="320"/>
      <c r="HH15" s="320"/>
      <c r="HI15" s="320"/>
      <c r="HJ15" s="320"/>
      <c r="HK15" s="320"/>
      <c r="HL15" s="320"/>
      <c r="HM15" s="320"/>
      <c r="HN15" s="320"/>
      <c r="HO15" s="320"/>
      <c r="HP15" s="320"/>
      <c r="HQ15" s="320"/>
      <c r="HR15" s="320"/>
      <c r="HS15" s="320"/>
      <c r="HT15" s="320"/>
      <c r="HU15" s="320"/>
      <c r="HV15" s="320"/>
      <c r="HW15" s="320"/>
      <c r="HX15" s="320"/>
      <c r="HY15" s="320"/>
      <c r="HZ15" s="320"/>
      <c r="IA15" s="320"/>
      <c r="IB15" s="320"/>
      <c r="IC15" s="320"/>
      <c r="ID15" s="320"/>
      <c r="IE15" s="320"/>
      <c r="IF15" s="320"/>
      <c r="IG15" s="320"/>
      <c r="IH15" s="320"/>
      <c r="II15" s="320"/>
      <c r="IJ15" s="320"/>
      <c r="IK15" s="320"/>
      <c r="IL15" s="320"/>
      <c r="IM15" s="320"/>
      <c r="IN15" s="320"/>
      <c r="IO15" s="320"/>
      <c r="IP15" s="320"/>
      <c r="IQ15" s="320"/>
      <c r="IR15" s="320"/>
      <c r="IS15" s="320"/>
      <c r="IT15" s="320"/>
      <c r="IU15" s="320"/>
      <c r="IV15" s="320"/>
      <c r="IW15" s="320"/>
      <c r="IX15" s="320"/>
      <c r="IY15" s="320"/>
    </row>
    <row r="16" spans="2:259" s="319" customFormat="1" x14ac:dyDescent="0.2">
      <c r="B16" s="922"/>
      <c r="C16" s="478" t="s">
        <v>279</v>
      </c>
      <c r="D16" s="331" t="s">
        <v>280</v>
      </c>
      <c r="E16" s="331" t="s">
        <v>257</v>
      </c>
      <c r="F16" s="307" t="s">
        <v>208</v>
      </c>
      <c r="G16" s="468">
        <v>0</v>
      </c>
      <c r="H16" s="565">
        <f t="shared" si="0"/>
        <v>0</v>
      </c>
      <c r="I16" s="328">
        <v>0</v>
      </c>
      <c r="J16" s="705">
        <v>0</v>
      </c>
      <c r="K16" s="565">
        <f t="shared" si="2"/>
        <v>0</v>
      </c>
      <c r="L16" s="924"/>
      <c r="M16" s="323"/>
      <c r="N16" s="327"/>
      <c r="O16" s="327"/>
      <c r="P16" s="322"/>
      <c r="Q16" s="322"/>
      <c r="R16" s="322"/>
      <c r="S16" s="325"/>
      <c r="T16" s="324"/>
      <c r="U16" s="324"/>
      <c r="V16" s="324"/>
      <c r="W16" s="324"/>
      <c r="X16" s="326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/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0"/>
      <c r="CF16" s="320"/>
      <c r="CG16" s="320"/>
      <c r="CH16" s="320"/>
      <c r="CI16" s="320"/>
      <c r="CJ16" s="320"/>
      <c r="CK16" s="320"/>
      <c r="CL16" s="320"/>
      <c r="CM16" s="320"/>
      <c r="CN16" s="320"/>
      <c r="CO16" s="320"/>
      <c r="CP16" s="320"/>
      <c r="CQ16" s="320"/>
      <c r="CR16" s="320"/>
      <c r="CS16" s="320"/>
      <c r="CT16" s="320"/>
      <c r="CU16" s="320"/>
      <c r="CV16" s="320"/>
      <c r="CW16" s="320"/>
      <c r="CX16" s="320"/>
      <c r="CY16" s="320"/>
      <c r="CZ16" s="320"/>
      <c r="DA16" s="320"/>
      <c r="DB16" s="320"/>
      <c r="DC16" s="320"/>
      <c r="DD16" s="320"/>
      <c r="DE16" s="320"/>
      <c r="DF16" s="320"/>
      <c r="DG16" s="320"/>
      <c r="DH16" s="320"/>
      <c r="DI16" s="320"/>
      <c r="DJ16" s="320"/>
      <c r="DK16" s="320"/>
      <c r="DL16" s="320"/>
      <c r="DM16" s="320"/>
      <c r="DN16" s="320"/>
      <c r="DO16" s="320"/>
      <c r="DP16" s="320"/>
      <c r="DQ16" s="320"/>
      <c r="DR16" s="320"/>
      <c r="DS16" s="320"/>
      <c r="DT16" s="320"/>
      <c r="DU16" s="320"/>
      <c r="DV16" s="320"/>
      <c r="DW16" s="320"/>
      <c r="DX16" s="320"/>
      <c r="DY16" s="320"/>
      <c r="DZ16" s="320"/>
      <c r="EA16" s="320"/>
      <c r="EB16" s="320"/>
      <c r="EC16" s="320"/>
      <c r="ED16" s="320"/>
      <c r="EE16" s="320"/>
      <c r="EF16" s="320"/>
      <c r="EG16" s="320"/>
      <c r="EH16" s="320"/>
      <c r="EI16" s="320"/>
      <c r="EJ16" s="320"/>
      <c r="EK16" s="320"/>
      <c r="EL16" s="320"/>
      <c r="EM16" s="320"/>
      <c r="EN16" s="320"/>
      <c r="EO16" s="320"/>
      <c r="EP16" s="320"/>
      <c r="EQ16" s="320"/>
      <c r="ER16" s="320"/>
      <c r="ES16" s="320"/>
      <c r="ET16" s="320"/>
      <c r="EU16" s="320"/>
      <c r="EV16" s="320"/>
      <c r="EW16" s="320"/>
      <c r="EX16" s="320"/>
      <c r="EY16" s="320"/>
      <c r="EZ16" s="320"/>
      <c r="FA16" s="320"/>
      <c r="FB16" s="320"/>
      <c r="FC16" s="320"/>
      <c r="FD16" s="320"/>
      <c r="FE16" s="320"/>
      <c r="FF16" s="320"/>
      <c r="FG16" s="320"/>
      <c r="FH16" s="320"/>
      <c r="FI16" s="320"/>
      <c r="FJ16" s="320"/>
      <c r="FK16" s="320"/>
      <c r="FL16" s="320"/>
      <c r="FM16" s="320"/>
      <c r="FN16" s="320"/>
      <c r="FO16" s="320"/>
      <c r="FP16" s="320"/>
      <c r="FQ16" s="320"/>
      <c r="FR16" s="320"/>
      <c r="FS16" s="320"/>
      <c r="FT16" s="320"/>
      <c r="FU16" s="320"/>
      <c r="FV16" s="320"/>
      <c r="FW16" s="320"/>
      <c r="FX16" s="320"/>
      <c r="FY16" s="320"/>
      <c r="FZ16" s="320"/>
      <c r="GA16" s="320"/>
      <c r="GB16" s="320"/>
      <c r="GC16" s="320"/>
      <c r="GD16" s="320"/>
      <c r="GE16" s="320"/>
      <c r="GF16" s="320"/>
      <c r="GG16" s="320"/>
      <c r="GH16" s="320"/>
      <c r="GI16" s="320"/>
      <c r="GJ16" s="320"/>
      <c r="GK16" s="320"/>
      <c r="GL16" s="320"/>
      <c r="GM16" s="320"/>
      <c r="GN16" s="320"/>
      <c r="GO16" s="320"/>
      <c r="GP16" s="320"/>
      <c r="GQ16" s="320"/>
      <c r="GR16" s="320"/>
      <c r="GS16" s="320"/>
      <c r="GT16" s="320"/>
      <c r="GU16" s="320"/>
      <c r="GV16" s="320"/>
      <c r="GW16" s="320"/>
      <c r="GX16" s="320"/>
      <c r="GY16" s="320"/>
      <c r="GZ16" s="320"/>
      <c r="HA16" s="320"/>
      <c r="HB16" s="320"/>
      <c r="HC16" s="320"/>
      <c r="HD16" s="320"/>
      <c r="HE16" s="320"/>
      <c r="HF16" s="320"/>
      <c r="HG16" s="320"/>
      <c r="HH16" s="320"/>
      <c r="HI16" s="320"/>
      <c r="HJ16" s="320"/>
      <c r="HK16" s="320"/>
      <c r="HL16" s="320"/>
      <c r="HM16" s="320"/>
      <c r="HN16" s="320"/>
      <c r="HO16" s="320"/>
      <c r="HP16" s="320"/>
      <c r="HQ16" s="320"/>
      <c r="HR16" s="320"/>
      <c r="HS16" s="320"/>
      <c r="HT16" s="320"/>
      <c r="HU16" s="320"/>
      <c r="HV16" s="320"/>
      <c r="HW16" s="320"/>
      <c r="HX16" s="320"/>
      <c r="HY16" s="320"/>
      <c r="HZ16" s="320"/>
      <c r="IA16" s="320"/>
      <c r="IB16" s="320"/>
      <c r="IC16" s="320"/>
      <c r="ID16" s="320"/>
      <c r="IE16" s="320"/>
      <c r="IF16" s="320"/>
      <c r="IG16" s="320"/>
      <c r="IH16" s="320"/>
      <c r="II16" s="320"/>
      <c r="IJ16" s="320"/>
      <c r="IK16" s="320"/>
      <c r="IL16" s="320"/>
      <c r="IM16" s="320"/>
      <c r="IN16" s="320"/>
      <c r="IO16" s="320"/>
      <c r="IP16" s="320"/>
      <c r="IQ16" s="320"/>
      <c r="IR16" s="320"/>
      <c r="IS16" s="320"/>
      <c r="IT16" s="320"/>
      <c r="IU16" s="320"/>
      <c r="IV16" s="320"/>
      <c r="IW16" s="320"/>
      <c r="IX16" s="320"/>
      <c r="IY16" s="320"/>
    </row>
    <row r="17" spans="2:259" s="319" customFormat="1" x14ac:dyDescent="0.2">
      <c r="B17" s="922"/>
      <c r="C17" s="478" t="s">
        <v>281</v>
      </c>
      <c r="D17" s="331" t="s">
        <v>282</v>
      </c>
      <c r="E17" s="331" t="s">
        <v>257</v>
      </c>
      <c r="F17" s="307" t="s">
        <v>208</v>
      </c>
      <c r="G17" s="468">
        <f t="shared" ref="G17:G18" si="3">525612*12</f>
        <v>6307344</v>
      </c>
      <c r="H17" s="565">
        <f t="shared" si="0"/>
        <v>7127298.7199999997</v>
      </c>
      <c r="I17" s="328">
        <f t="shared" ref="I17:I18" si="4">101037+171709</f>
        <v>272746</v>
      </c>
      <c r="J17" s="705">
        <v>149030</v>
      </c>
      <c r="K17" s="565">
        <f t="shared" si="2"/>
        <v>7549074.7199999997</v>
      </c>
      <c r="L17" s="924"/>
      <c r="M17" s="323"/>
      <c r="N17" s="327"/>
      <c r="O17" s="327"/>
      <c r="P17" s="322"/>
      <c r="Q17" s="322"/>
      <c r="R17" s="322"/>
      <c r="S17" s="325"/>
      <c r="T17" s="324"/>
      <c r="U17" s="324"/>
      <c r="V17" s="324"/>
      <c r="W17" s="324"/>
      <c r="X17" s="326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320"/>
      <c r="BK17" s="320"/>
      <c r="BL17" s="320"/>
      <c r="BM17" s="320"/>
      <c r="BN17" s="320"/>
      <c r="BO17" s="320"/>
      <c r="BP17" s="320"/>
      <c r="BQ17" s="320"/>
      <c r="BR17" s="320"/>
      <c r="BS17" s="320"/>
      <c r="BT17" s="320"/>
      <c r="BU17" s="320"/>
      <c r="BV17" s="320"/>
      <c r="BW17" s="320"/>
      <c r="BX17" s="320"/>
      <c r="BY17" s="320"/>
      <c r="BZ17" s="320"/>
      <c r="CA17" s="320"/>
      <c r="CB17" s="320"/>
      <c r="CC17" s="320"/>
      <c r="CD17" s="320"/>
      <c r="CE17" s="320"/>
      <c r="CF17" s="320"/>
      <c r="CG17" s="320"/>
      <c r="CH17" s="320"/>
      <c r="CI17" s="320"/>
      <c r="CJ17" s="320"/>
      <c r="CK17" s="320"/>
      <c r="CL17" s="320"/>
      <c r="CM17" s="320"/>
      <c r="CN17" s="320"/>
      <c r="CO17" s="320"/>
      <c r="CP17" s="320"/>
      <c r="CQ17" s="320"/>
      <c r="CR17" s="320"/>
      <c r="CS17" s="320"/>
      <c r="CT17" s="320"/>
      <c r="CU17" s="320"/>
      <c r="CV17" s="320"/>
      <c r="CW17" s="320"/>
      <c r="CX17" s="320"/>
      <c r="CY17" s="320"/>
      <c r="CZ17" s="320"/>
      <c r="DA17" s="320"/>
      <c r="DB17" s="320"/>
      <c r="DC17" s="320"/>
      <c r="DD17" s="320"/>
      <c r="DE17" s="320"/>
      <c r="DF17" s="320"/>
      <c r="DG17" s="320"/>
      <c r="DH17" s="320"/>
      <c r="DI17" s="320"/>
      <c r="DJ17" s="320"/>
      <c r="DK17" s="320"/>
      <c r="DL17" s="320"/>
      <c r="DM17" s="320"/>
      <c r="DN17" s="320"/>
      <c r="DO17" s="320"/>
      <c r="DP17" s="320"/>
      <c r="DQ17" s="320"/>
      <c r="DR17" s="320"/>
      <c r="DS17" s="320"/>
      <c r="DT17" s="320"/>
      <c r="DU17" s="320"/>
      <c r="DV17" s="320"/>
      <c r="DW17" s="320"/>
      <c r="DX17" s="320"/>
      <c r="DY17" s="320"/>
      <c r="DZ17" s="320"/>
      <c r="EA17" s="320"/>
      <c r="EB17" s="320"/>
      <c r="EC17" s="320"/>
      <c r="ED17" s="320"/>
      <c r="EE17" s="320"/>
      <c r="EF17" s="320"/>
      <c r="EG17" s="320"/>
      <c r="EH17" s="320"/>
      <c r="EI17" s="320"/>
      <c r="EJ17" s="320"/>
      <c r="EK17" s="320"/>
      <c r="EL17" s="320"/>
      <c r="EM17" s="320"/>
      <c r="EN17" s="320"/>
      <c r="EO17" s="320"/>
      <c r="EP17" s="320"/>
      <c r="EQ17" s="320"/>
      <c r="ER17" s="320"/>
      <c r="ES17" s="320"/>
      <c r="ET17" s="320"/>
      <c r="EU17" s="320"/>
      <c r="EV17" s="320"/>
      <c r="EW17" s="320"/>
      <c r="EX17" s="320"/>
      <c r="EY17" s="320"/>
      <c r="EZ17" s="320"/>
      <c r="FA17" s="320"/>
      <c r="FB17" s="320"/>
      <c r="FC17" s="320"/>
      <c r="FD17" s="320"/>
      <c r="FE17" s="320"/>
      <c r="FF17" s="320"/>
      <c r="FG17" s="320"/>
      <c r="FH17" s="320"/>
      <c r="FI17" s="320"/>
      <c r="FJ17" s="320"/>
      <c r="FK17" s="320"/>
      <c r="FL17" s="320"/>
      <c r="FM17" s="320"/>
      <c r="FN17" s="320"/>
      <c r="FO17" s="320"/>
      <c r="FP17" s="320"/>
      <c r="FQ17" s="320"/>
      <c r="FR17" s="320"/>
      <c r="FS17" s="320"/>
      <c r="FT17" s="320"/>
      <c r="FU17" s="320"/>
      <c r="FV17" s="320"/>
      <c r="FW17" s="320"/>
      <c r="FX17" s="320"/>
      <c r="FY17" s="320"/>
      <c r="FZ17" s="320"/>
      <c r="GA17" s="320"/>
      <c r="GB17" s="320"/>
      <c r="GC17" s="320"/>
      <c r="GD17" s="320"/>
      <c r="GE17" s="320"/>
      <c r="GF17" s="320"/>
      <c r="GG17" s="320"/>
      <c r="GH17" s="320"/>
      <c r="GI17" s="320"/>
      <c r="GJ17" s="320"/>
      <c r="GK17" s="320"/>
      <c r="GL17" s="320"/>
      <c r="GM17" s="320"/>
      <c r="GN17" s="320"/>
      <c r="GO17" s="320"/>
      <c r="GP17" s="320"/>
      <c r="GQ17" s="320"/>
      <c r="GR17" s="320"/>
      <c r="GS17" s="320"/>
      <c r="GT17" s="320"/>
      <c r="GU17" s="320"/>
      <c r="GV17" s="320"/>
      <c r="GW17" s="320"/>
      <c r="GX17" s="320"/>
      <c r="GY17" s="320"/>
      <c r="GZ17" s="320"/>
      <c r="HA17" s="320"/>
      <c r="HB17" s="320"/>
      <c r="HC17" s="320"/>
      <c r="HD17" s="320"/>
      <c r="HE17" s="320"/>
      <c r="HF17" s="320"/>
      <c r="HG17" s="320"/>
      <c r="HH17" s="320"/>
      <c r="HI17" s="320"/>
      <c r="HJ17" s="320"/>
      <c r="HK17" s="320"/>
      <c r="HL17" s="320"/>
      <c r="HM17" s="320"/>
      <c r="HN17" s="320"/>
      <c r="HO17" s="320"/>
      <c r="HP17" s="320"/>
      <c r="HQ17" s="320"/>
      <c r="HR17" s="320"/>
      <c r="HS17" s="320"/>
      <c r="HT17" s="320"/>
      <c r="HU17" s="320"/>
      <c r="HV17" s="320"/>
      <c r="HW17" s="320"/>
      <c r="HX17" s="320"/>
      <c r="HY17" s="320"/>
      <c r="HZ17" s="320"/>
      <c r="IA17" s="320"/>
      <c r="IB17" s="320"/>
      <c r="IC17" s="320"/>
      <c r="ID17" s="320"/>
      <c r="IE17" s="320"/>
      <c r="IF17" s="320"/>
      <c r="IG17" s="320"/>
      <c r="IH17" s="320"/>
      <c r="II17" s="320"/>
      <c r="IJ17" s="320"/>
      <c r="IK17" s="320"/>
      <c r="IL17" s="320"/>
      <c r="IM17" s="320"/>
      <c r="IN17" s="320"/>
      <c r="IO17" s="320"/>
      <c r="IP17" s="320"/>
      <c r="IQ17" s="320"/>
      <c r="IR17" s="320"/>
      <c r="IS17" s="320"/>
      <c r="IT17" s="320"/>
      <c r="IU17" s="320"/>
      <c r="IV17" s="320"/>
      <c r="IW17" s="320"/>
      <c r="IX17" s="320"/>
      <c r="IY17" s="320"/>
    </row>
    <row r="18" spans="2:259" s="319" customFormat="1" x14ac:dyDescent="0.2">
      <c r="B18" s="922"/>
      <c r="C18" s="478" t="s">
        <v>283</v>
      </c>
      <c r="D18" s="331" t="s">
        <v>282</v>
      </c>
      <c r="E18" s="331" t="s">
        <v>257</v>
      </c>
      <c r="F18" s="307" t="s">
        <v>208</v>
      </c>
      <c r="G18" s="468">
        <f t="shared" si="3"/>
        <v>6307344</v>
      </c>
      <c r="H18" s="565">
        <f t="shared" si="0"/>
        <v>7127298.7199999997</v>
      </c>
      <c r="I18" s="328">
        <f t="shared" si="4"/>
        <v>272746</v>
      </c>
      <c r="J18" s="705">
        <v>149030</v>
      </c>
      <c r="K18" s="565">
        <f t="shared" si="2"/>
        <v>7549074.7199999997</v>
      </c>
      <c r="L18" s="924"/>
      <c r="M18" s="323"/>
      <c r="N18" s="327"/>
      <c r="O18" s="327"/>
      <c r="P18" s="322"/>
      <c r="Q18" s="322"/>
      <c r="R18" s="322"/>
      <c r="S18" s="325"/>
      <c r="T18" s="324"/>
      <c r="U18" s="324"/>
      <c r="V18" s="324"/>
      <c r="W18" s="324"/>
      <c r="X18" s="326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0"/>
      <c r="BW18" s="320"/>
      <c r="BX18" s="320"/>
      <c r="BY18" s="320"/>
      <c r="BZ18" s="320"/>
      <c r="CA18" s="320"/>
      <c r="CB18" s="320"/>
      <c r="CC18" s="320"/>
      <c r="CD18" s="320"/>
      <c r="CE18" s="320"/>
      <c r="CF18" s="320"/>
      <c r="CG18" s="320"/>
      <c r="CH18" s="320"/>
      <c r="CI18" s="320"/>
      <c r="CJ18" s="320"/>
      <c r="CK18" s="320"/>
      <c r="CL18" s="320"/>
      <c r="CM18" s="320"/>
      <c r="CN18" s="320"/>
      <c r="CO18" s="320"/>
      <c r="CP18" s="320"/>
      <c r="CQ18" s="320"/>
      <c r="CR18" s="320"/>
      <c r="CS18" s="320"/>
      <c r="CT18" s="320"/>
      <c r="CU18" s="320"/>
      <c r="CV18" s="320"/>
      <c r="CW18" s="320"/>
      <c r="CX18" s="320"/>
      <c r="CY18" s="320"/>
      <c r="CZ18" s="320"/>
      <c r="DA18" s="320"/>
      <c r="DB18" s="320"/>
      <c r="DC18" s="320"/>
      <c r="DD18" s="320"/>
      <c r="DE18" s="320"/>
      <c r="DF18" s="320"/>
      <c r="DG18" s="320"/>
      <c r="DH18" s="320"/>
      <c r="DI18" s="320"/>
      <c r="DJ18" s="320"/>
      <c r="DK18" s="320"/>
      <c r="DL18" s="320"/>
      <c r="DM18" s="320"/>
      <c r="DN18" s="320"/>
      <c r="DO18" s="320"/>
      <c r="DP18" s="320"/>
      <c r="DQ18" s="320"/>
      <c r="DR18" s="320"/>
      <c r="DS18" s="320"/>
      <c r="DT18" s="320"/>
      <c r="DU18" s="320"/>
      <c r="DV18" s="320"/>
      <c r="DW18" s="320"/>
      <c r="DX18" s="320"/>
      <c r="DY18" s="320"/>
      <c r="DZ18" s="320"/>
      <c r="EA18" s="320"/>
      <c r="EB18" s="320"/>
      <c r="EC18" s="320"/>
      <c r="ED18" s="320"/>
      <c r="EE18" s="320"/>
      <c r="EF18" s="320"/>
      <c r="EG18" s="320"/>
      <c r="EH18" s="320"/>
      <c r="EI18" s="320"/>
      <c r="EJ18" s="320"/>
      <c r="EK18" s="320"/>
      <c r="EL18" s="320"/>
      <c r="EM18" s="320"/>
      <c r="EN18" s="320"/>
      <c r="EO18" s="320"/>
      <c r="EP18" s="320"/>
      <c r="EQ18" s="320"/>
      <c r="ER18" s="320"/>
      <c r="ES18" s="320"/>
      <c r="ET18" s="320"/>
      <c r="EU18" s="320"/>
      <c r="EV18" s="320"/>
      <c r="EW18" s="320"/>
      <c r="EX18" s="320"/>
      <c r="EY18" s="320"/>
      <c r="EZ18" s="320"/>
      <c r="FA18" s="320"/>
      <c r="FB18" s="320"/>
      <c r="FC18" s="320"/>
      <c r="FD18" s="320"/>
      <c r="FE18" s="320"/>
      <c r="FF18" s="320"/>
      <c r="FG18" s="320"/>
      <c r="FH18" s="320"/>
      <c r="FI18" s="320"/>
      <c r="FJ18" s="320"/>
      <c r="FK18" s="320"/>
      <c r="FL18" s="320"/>
      <c r="FM18" s="320"/>
      <c r="FN18" s="320"/>
      <c r="FO18" s="320"/>
      <c r="FP18" s="320"/>
      <c r="FQ18" s="320"/>
      <c r="FR18" s="320"/>
      <c r="FS18" s="320"/>
      <c r="FT18" s="320"/>
      <c r="FU18" s="320"/>
      <c r="FV18" s="320"/>
      <c r="FW18" s="320"/>
      <c r="FX18" s="320"/>
      <c r="FY18" s="320"/>
      <c r="FZ18" s="320"/>
      <c r="GA18" s="320"/>
      <c r="GB18" s="320"/>
      <c r="GC18" s="320"/>
      <c r="GD18" s="320"/>
      <c r="GE18" s="320"/>
      <c r="GF18" s="320"/>
      <c r="GG18" s="320"/>
      <c r="GH18" s="320"/>
      <c r="GI18" s="320"/>
      <c r="GJ18" s="320"/>
      <c r="GK18" s="320"/>
      <c r="GL18" s="320"/>
      <c r="GM18" s="320"/>
      <c r="GN18" s="320"/>
      <c r="GO18" s="320"/>
      <c r="GP18" s="320"/>
      <c r="GQ18" s="320"/>
      <c r="GR18" s="320"/>
      <c r="GS18" s="320"/>
      <c r="GT18" s="320"/>
      <c r="GU18" s="320"/>
      <c r="GV18" s="320"/>
      <c r="GW18" s="320"/>
      <c r="GX18" s="320"/>
      <c r="GY18" s="320"/>
      <c r="GZ18" s="320"/>
      <c r="HA18" s="320"/>
      <c r="HB18" s="320"/>
      <c r="HC18" s="320"/>
      <c r="HD18" s="320"/>
      <c r="HE18" s="320"/>
      <c r="HF18" s="320"/>
      <c r="HG18" s="320"/>
      <c r="HH18" s="320"/>
      <c r="HI18" s="320"/>
      <c r="HJ18" s="320"/>
      <c r="HK18" s="320"/>
      <c r="HL18" s="320"/>
      <c r="HM18" s="320"/>
      <c r="HN18" s="320"/>
      <c r="HO18" s="320"/>
      <c r="HP18" s="320"/>
      <c r="HQ18" s="320"/>
      <c r="HR18" s="320"/>
      <c r="HS18" s="320"/>
      <c r="HT18" s="320"/>
      <c r="HU18" s="320"/>
      <c r="HV18" s="320"/>
      <c r="HW18" s="320"/>
      <c r="HX18" s="320"/>
      <c r="HY18" s="320"/>
      <c r="HZ18" s="320"/>
      <c r="IA18" s="320"/>
      <c r="IB18" s="320"/>
      <c r="IC18" s="320"/>
      <c r="ID18" s="320"/>
      <c r="IE18" s="320"/>
      <c r="IF18" s="320"/>
      <c r="IG18" s="320"/>
      <c r="IH18" s="320"/>
      <c r="II18" s="320"/>
      <c r="IJ18" s="320"/>
      <c r="IK18" s="320"/>
      <c r="IL18" s="320"/>
      <c r="IM18" s="320"/>
      <c r="IN18" s="320"/>
      <c r="IO18" s="320"/>
      <c r="IP18" s="320"/>
      <c r="IQ18" s="320"/>
      <c r="IR18" s="320"/>
      <c r="IS18" s="320"/>
      <c r="IT18" s="320"/>
      <c r="IU18" s="320"/>
      <c r="IV18" s="320"/>
      <c r="IW18" s="320"/>
      <c r="IX18" s="320"/>
      <c r="IY18" s="320"/>
    </row>
    <row r="19" spans="2:259" s="319" customFormat="1" x14ac:dyDescent="0.2">
      <c r="B19" s="922"/>
      <c r="C19" s="478"/>
      <c r="D19" s="331"/>
      <c r="E19" s="331"/>
      <c r="F19" s="307"/>
      <c r="G19" s="468">
        <v>0</v>
      </c>
      <c r="H19" s="565">
        <f t="shared" si="0"/>
        <v>0</v>
      </c>
      <c r="I19" s="116">
        <v>0</v>
      </c>
      <c r="J19" s="707">
        <v>0</v>
      </c>
      <c r="K19" s="565">
        <f t="shared" si="2"/>
        <v>0</v>
      </c>
      <c r="L19" s="924"/>
      <c r="M19" s="323"/>
      <c r="N19" s="327"/>
      <c r="O19" s="327"/>
      <c r="P19" s="322"/>
      <c r="Q19" s="322"/>
      <c r="R19" s="322"/>
      <c r="S19" s="325"/>
      <c r="T19" s="324"/>
      <c r="U19" s="324"/>
      <c r="V19" s="324"/>
      <c r="W19" s="324"/>
      <c r="X19" s="326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320"/>
      <c r="BK19" s="320"/>
      <c r="BL19" s="320"/>
      <c r="BM19" s="320"/>
      <c r="BN19" s="320"/>
      <c r="BO19" s="320"/>
      <c r="BP19" s="320"/>
      <c r="BQ19" s="320"/>
      <c r="BR19" s="320"/>
      <c r="BS19" s="320"/>
      <c r="BT19" s="320"/>
      <c r="BU19" s="320"/>
      <c r="BV19" s="320"/>
      <c r="BW19" s="320"/>
      <c r="BX19" s="320"/>
      <c r="BY19" s="320"/>
      <c r="BZ19" s="320"/>
      <c r="CA19" s="320"/>
      <c r="CB19" s="320"/>
      <c r="CC19" s="320"/>
      <c r="CD19" s="320"/>
      <c r="CE19" s="320"/>
      <c r="CF19" s="320"/>
      <c r="CG19" s="320"/>
      <c r="CH19" s="320"/>
      <c r="CI19" s="320"/>
      <c r="CJ19" s="320"/>
      <c r="CK19" s="320"/>
      <c r="CL19" s="320"/>
      <c r="CM19" s="320"/>
      <c r="CN19" s="320"/>
      <c r="CO19" s="320"/>
      <c r="CP19" s="320"/>
      <c r="CQ19" s="320"/>
      <c r="CR19" s="320"/>
      <c r="CS19" s="320"/>
      <c r="CT19" s="320"/>
      <c r="CU19" s="320"/>
      <c r="CV19" s="320"/>
      <c r="CW19" s="320"/>
      <c r="CX19" s="320"/>
      <c r="CY19" s="320"/>
      <c r="CZ19" s="320"/>
      <c r="DA19" s="320"/>
      <c r="DB19" s="320"/>
      <c r="DC19" s="320"/>
      <c r="DD19" s="320"/>
      <c r="DE19" s="320"/>
      <c r="DF19" s="320"/>
      <c r="DG19" s="320"/>
      <c r="DH19" s="320"/>
      <c r="DI19" s="320"/>
      <c r="DJ19" s="320"/>
      <c r="DK19" s="320"/>
      <c r="DL19" s="320"/>
      <c r="DM19" s="320"/>
      <c r="DN19" s="320"/>
      <c r="DO19" s="320"/>
      <c r="DP19" s="320"/>
      <c r="DQ19" s="320"/>
      <c r="DR19" s="320"/>
      <c r="DS19" s="320"/>
      <c r="DT19" s="320"/>
      <c r="DU19" s="320"/>
      <c r="DV19" s="320"/>
      <c r="DW19" s="320"/>
      <c r="DX19" s="320"/>
      <c r="DY19" s="320"/>
      <c r="DZ19" s="320"/>
      <c r="EA19" s="320"/>
      <c r="EB19" s="320"/>
      <c r="EC19" s="320"/>
      <c r="ED19" s="320"/>
      <c r="EE19" s="320"/>
      <c r="EF19" s="320"/>
      <c r="EG19" s="320"/>
      <c r="EH19" s="320"/>
      <c r="EI19" s="320"/>
      <c r="EJ19" s="320"/>
      <c r="EK19" s="320"/>
      <c r="EL19" s="320"/>
      <c r="EM19" s="320"/>
      <c r="EN19" s="320"/>
      <c r="EO19" s="320"/>
      <c r="EP19" s="320"/>
      <c r="EQ19" s="320"/>
      <c r="ER19" s="320"/>
      <c r="ES19" s="320"/>
      <c r="ET19" s="320"/>
      <c r="EU19" s="320"/>
      <c r="EV19" s="320"/>
      <c r="EW19" s="320"/>
      <c r="EX19" s="320"/>
      <c r="EY19" s="320"/>
      <c r="EZ19" s="320"/>
      <c r="FA19" s="320"/>
      <c r="FB19" s="320"/>
      <c r="FC19" s="320"/>
      <c r="FD19" s="320"/>
      <c r="FE19" s="320"/>
      <c r="FF19" s="320"/>
      <c r="FG19" s="320"/>
      <c r="FH19" s="320"/>
      <c r="FI19" s="320"/>
      <c r="FJ19" s="320"/>
      <c r="FK19" s="320"/>
      <c r="FL19" s="320"/>
      <c r="FM19" s="320"/>
      <c r="FN19" s="320"/>
      <c r="FO19" s="320"/>
      <c r="FP19" s="320"/>
      <c r="FQ19" s="320"/>
      <c r="FR19" s="320"/>
      <c r="FS19" s="320"/>
      <c r="FT19" s="320"/>
      <c r="FU19" s="320"/>
      <c r="FV19" s="320"/>
      <c r="FW19" s="320"/>
      <c r="FX19" s="320"/>
      <c r="FY19" s="320"/>
      <c r="FZ19" s="320"/>
      <c r="GA19" s="320"/>
      <c r="GB19" s="320"/>
      <c r="GC19" s="320"/>
      <c r="GD19" s="320"/>
      <c r="GE19" s="320"/>
      <c r="GF19" s="320"/>
      <c r="GG19" s="320"/>
      <c r="GH19" s="320"/>
      <c r="GI19" s="320"/>
      <c r="GJ19" s="320"/>
      <c r="GK19" s="320"/>
      <c r="GL19" s="320"/>
      <c r="GM19" s="320"/>
      <c r="GN19" s="320"/>
      <c r="GO19" s="320"/>
      <c r="GP19" s="320"/>
      <c r="GQ19" s="320"/>
      <c r="GR19" s="320"/>
      <c r="GS19" s="320"/>
      <c r="GT19" s="320"/>
      <c r="GU19" s="320"/>
      <c r="GV19" s="320"/>
      <c r="GW19" s="320"/>
      <c r="GX19" s="320"/>
      <c r="GY19" s="320"/>
      <c r="GZ19" s="320"/>
      <c r="HA19" s="320"/>
      <c r="HB19" s="320"/>
      <c r="HC19" s="320"/>
      <c r="HD19" s="320"/>
      <c r="HE19" s="320"/>
      <c r="HF19" s="320"/>
      <c r="HG19" s="320"/>
      <c r="HH19" s="320"/>
      <c r="HI19" s="320"/>
      <c r="HJ19" s="320"/>
      <c r="HK19" s="320"/>
      <c r="HL19" s="320"/>
      <c r="HM19" s="320"/>
      <c r="HN19" s="320"/>
      <c r="HO19" s="320"/>
      <c r="HP19" s="320"/>
      <c r="HQ19" s="320"/>
      <c r="HR19" s="320"/>
      <c r="HS19" s="320"/>
      <c r="HT19" s="320"/>
      <c r="HU19" s="320"/>
      <c r="HV19" s="320"/>
      <c r="HW19" s="320"/>
      <c r="HX19" s="320"/>
      <c r="HY19" s="320"/>
      <c r="HZ19" s="320"/>
      <c r="IA19" s="320"/>
      <c r="IB19" s="320"/>
      <c r="IC19" s="320"/>
      <c r="ID19" s="320"/>
      <c r="IE19" s="320"/>
      <c r="IF19" s="320"/>
      <c r="IG19" s="320"/>
      <c r="IH19" s="320"/>
      <c r="II19" s="320"/>
      <c r="IJ19" s="320"/>
      <c r="IK19" s="320"/>
      <c r="IL19" s="320"/>
      <c r="IM19" s="320"/>
      <c r="IN19" s="320"/>
      <c r="IO19" s="320"/>
      <c r="IP19" s="320"/>
      <c r="IQ19" s="320"/>
      <c r="IR19" s="320"/>
      <c r="IS19" s="320"/>
      <c r="IT19" s="320"/>
      <c r="IU19" s="320"/>
      <c r="IV19" s="320"/>
      <c r="IW19" s="320"/>
      <c r="IX19" s="320"/>
      <c r="IY19" s="320"/>
    </row>
    <row r="20" spans="2:259" s="319" customFormat="1" x14ac:dyDescent="0.2">
      <c r="B20" s="922"/>
      <c r="C20" s="478"/>
      <c r="D20" s="331"/>
      <c r="E20" s="331"/>
      <c r="F20" s="307"/>
      <c r="G20" s="468">
        <v>0</v>
      </c>
      <c r="H20" s="565">
        <f t="shared" si="0"/>
        <v>0</v>
      </c>
      <c r="I20" s="116">
        <v>0</v>
      </c>
      <c r="J20" s="707">
        <v>0</v>
      </c>
      <c r="K20" s="565">
        <f t="shared" si="2"/>
        <v>0</v>
      </c>
      <c r="L20" s="924"/>
      <c r="M20" s="323"/>
      <c r="N20" s="327"/>
      <c r="O20" s="327"/>
      <c r="P20" s="322"/>
      <c r="Q20" s="322"/>
      <c r="R20" s="322"/>
      <c r="S20" s="325"/>
      <c r="T20" s="324"/>
      <c r="U20" s="324"/>
      <c r="V20" s="324"/>
      <c r="W20" s="324"/>
      <c r="X20" s="326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BD20" s="320"/>
      <c r="BE20" s="320"/>
      <c r="BF20" s="320"/>
      <c r="BG20" s="320"/>
      <c r="BH20" s="320"/>
      <c r="BI20" s="320"/>
      <c r="BJ20" s="320"/>
      <c r="BK20" s="320"/>
      <c r="BL20" s="320"/>
      <c r="BM20" s="320"/>
      <c r="BN20" s="320"/>
      <c r="BO20" s="320"/>
      <c r="BP20" s="320"/>
      <c r="BQ20" s="320"/>
      <c r="BR20" s="320"/>
      <c r="BS20" s="320"/>
      <c r="BT20" s="320"/>
      <c r="BU20" s="320"/>
      <c r="BV20" s="320"/>
      <c r="BW20" s="320"/>
      <c r="BX20" s="320"/>
      <c r="BY20" s="320"/>
      <c r="BZ20" s="320"/>
      <c r="CA20" s="320"/>
      <c r="CB20" s="320"/>
      <c r="CC20" s="320"/>
      <c r="CD20" s="320"/>
      <c r="CE20" s="320"/>
      <c r="CF20" s="320"/>
      <c r="CG20" s="320"/>
      <c r="CH20" s="320"/>
      <c r="CI20" s="320"/>
      <c r="CJ20" s="320"/>
      <c r="CK20" s="320"/>
      <c r="CL20" s="320"/>
      <c r="CM20" s="320"/>
      <c r="CN20" s="320"/>
      <c r="CO20" s="320"/>
      <c r="CP20" s="320"/>
      <c r="CQ20" s="320"/>
      <c r="CR20" s="320"/>
      <c r="CS20" s="320"/>
      <c r="CT20" s="320"/>
      <c r="CU20" s="320"/>
      <c r="CV20" s="320"/>
      <c r="CW20" s="320"/>
      <c r="CX20" s="320"/>
      <c r="CY20" s="320"/>
      <c r="CZ20" s="320"/>
      <c r="DA20" s="320"/>
      <c r="DB20" s="320"/>
      <c r="DC20" s="320"/>
      <c r="DD20" s="320"/>
      <c r="DE20" s="320"/>
      <c r="DF20" s="320"/>
      <c r="DG20" s="320"/>
      <c r="DH20" s="320"/>
      <c r="DI20" s="320"/>
      <c r="DJ20" s="320"/>
      <c r="DK20" s="320"/>
      <c r="DL20" s="320"/>
      <c r="DM20" s="320"/>
      <c r="DN20" s="320"/>
      <c r="DO20" s="320"/>
      <c r="DP20" s="320"/>
      <c r="DQ20" s="320"/>
      <c r="DR20" s="320"/>
      <c r="DS20" s="320"/>
      <c r="DT20" s="320"/>
      <c r="DU20" s="320"/>
      <c r="DV20" s="320"/>
      <c r="DW20" s="320"/>
      <c r="DX20" s="320"/>
      <c r="DY20" s="320"/>
      <c r="DZ20" s="320"/>
      <c r="EA20" s="320"/>
      <c r="EB20" s="320"/>
      <c r="EC20" s="320"/>
      <c r="ED20" s="320"/>
      <c r="EE20" s="320"/>
      <c r="EF20" s="320"/>
      <c r="EG20" s="320"/>
      <c r="EH20" s="320"/>
      <c r="EI20" s="320"/>
      <c r="EJ20" s="320"/>
      <c r="EK20" s="320"/>
      <c r="EL20" s="320"/>
      <c r="EM20" s="320"/>
      <c r="EN20" s="320"/>
      <c r="EO20" s="320"/>
      <c r="EP20" s="320"/>
      <c r="EQ20" s="320"/>
      <c r="ER20" s="320"/>
      <c r="ES20" s="320"/>
      <c r="ET20" s="320"/>
      <c r="EU20" s="320"/>
      <c r="EV20" s="320"/>
      <c r="EW20" s="320"/>
      <c r="EX20" s="320"/>
      <c r="EY20" s="320"/>
      <c r="EZ20" s="320"/>
      <c r="FA20" s="320"/>
      <c r="FB20" s="320"/>
      <c r="FC20" s="320"/>
      <c r="FD20" s="320"/>
      <c r="FE20" s="320"/>
      <c r="FF20" s="320"/>
      <c r="FG20" s="320"/>
      <c r="FH20" s="320"/>
      <c r="FI20" s="320"/>
      <c r="FJ20" s="320"/>
      <c r="FK20" s="320"/>
      <c r="FL20" s="320"/>
      <c r="FM20" s="320"/>
      <c r="FN20" s="320"/>
      <c r="FO20" s="320"/>
      <c r="FP20" s="320"/>
      <c r="FQ20" s="320"/>
      <c r="FR20" s="320"/>
      <c r="FS20" s="320"/>
      <c r="FT20" s="320"/>
      <c r="FU20" s="320"/>
      <c r="FV20" s="320"/>
      <c r="FW20" s="320"/>
      <c r="FX20" s="320"/>
      <c r="FY20" s="320"/>
      <c r="FZ20" s="320"/>
      <c r="GA20" s="320"/>
      <c r="GB20" s="320"/>
      <c r="GC20" s="320"/>
      <c r="GD20" s="320"/>
      <c r="GE20" s="320"/>
      <c r="GF20" s="320"/>
      <c r="GG20" s="320"/>
      <c r="GH20" s="320"/>
      <c r="GI20" s="320"/>
      <c r="GJ20" s="320"/>
      <c r="GK20" s="320"/>
      <c r="GL20" s="320"/>
      <c r="GM20" s="320"/>
      <c r="GN20" s="320"/>
      <c r="GO20" s="320"/>
      <c r="GP20" s="320"/>
      <c r="GQ20" s="320"/>
      <c r="GR20" s="320"/>
      <c r="GS20" s="320"/>
      <c r="GT20" s="320"/>
      <c r="GU20" s="320"/>
      <c r="GV20" s="320"/>
      <c r="GW20" s="320"/>
      <c r="GX20" s="320"/>
      <c r="GY20" s="320"/>
      <c r="GZ20" s="320"/>
      <c r="HA20" s="320"/>
      <c r="HB20" s="320"/>
      <c r="HC20" s="320"/>
      <c r="HD20" s="320"/>
      <c r="HE20" s="320"/>
      <c r="HF20" s="320"/>
      <c r="HG20" s="320"/>
      <c r="HH20" s="320"/>
      <c r="HI20" s="320"/>
      <c r="HJ20" s="320"/>
      <c r="HK20" s="320"/>
      <c r="HL20" s="320"/>
      <c r="HM20" s="320"/>
      <c r="HN20" s="320"/>
      <c r="HO20" s="320"/>
      <c r="HP20" s="320"/>
      <c r="HQ20" s="320"/>
      <c r="HR20" s="320"/>
      <c r="HS20" s="320"/>
      <c r="HT20" s="320"/>
      <c r="HU20" s="320"/>
      <c r="HV20" s="320"/>
      <c r="HW20" s="320"/>
      <c r="HX20" s="320"/>
      <c r="HY20" s="320"/>
      <c r="HZ20" s="320"/>
      <c r="IA20" s="320"/>
      <c r="IB20" s="320"/>
      <c r="IC20" s="320"/>
      <c r="ID20" s="320"/>
      <c r="IE20" s="320"/>
      <c r="IF20" s="320"/>
      <c r="IG20" s="320"/>
      <c r="IH20" s="320"/>
      <c r="II20" s="320"/>
      <c r="IJ20" s="320"/>
      <c r="IK20" s="320"/>
      <c r="IL20" s="320"/>
      <c r="IM20" s="320"/>
      <c r="IN20" s="320"/>
      <c r="IO20" s="320"/>
      <c r="IP20" s="320"/>
      <c r="IQ20" s="320"/>
      <c r="IR20" s="320"/>
      <c r="IS20" s="320"/>
      <c r="IT20" s="320"/>
      <c r="IU20" s="320"/>
      <c r="IV20" s="320"/>
      <c r="IW20" s="320"/>
      <c r="IX20" s="320"/>
      <c r="IY20" s="320"/>
    </row>
    <row r="21" spans="2:259" s="319" customFormat="1" x14ac:dyDescent="0.2">
      <c r="B21" s="922"/>
      <c r="C21" s="478"/>
      <c r="D21" s="331"/>
      <c r="E21" s="331"/>
      <c r="F21" s="307"/>
      <c r="G21" s="468">
        <v>0</v>
      </c>
      <c r="H21" s="565">
        <f t="shared" si="0"/>
        <v>0</v>
      </c>
      <c r="I21" s="116">
        <v>0</v>
      </c>
      <c r="J21" s="707">
        <v>0</v>
      </c>
      <c r="K21" s="565">
        <f t="shared" si="2"/>
        <v>0</v>
      </c>
      <c r="L21" s="924"/>
      <c r="M21" s="323"/>
      <c r="N21" s="327"/>
      <c r="O21" s="327"/>
      <c r="P21" s="322"/>
      <c r="Q21" s="322"/>
      <c r="R21" s="322"/>
      <c r="S21" s="325"/>
      <c r="T21" s="324"/>
      <c r="U21" s="324"/>
      <c r="V21" s="324"/>
      <c r="W21" s="324"/>
      <c r="X21" s="326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  <c r="AX21" s="320"/>
      <c r="AY21" s="320"/>
      <c r="AZ21" s="320"/>
      <c r="BA21" s="320"/>
      <c r="BB21" s="320"/>
      <c r="BC21" s="320"/>
      <c r="BD21" s="320"/>
      <c r="BE21" s="320"/>
      <c r="BF21" s="320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320"/>
      <c r="BW21" s="320"/>
      <c r="BX21" s="320"/>
      <c r="BY21" s="320"/>
      <c r="BZ21" s="320"/>
      <c r="CA21" s="320"/>
      <c r="CB21" s="320"/>
      <c r="CC21" s="320"/>
      <c r="CD21" s="320"/>
      <c r="CE21" s="320"/>
      <c r="CF21" s="320"/>
      <c r="CG21" s="320"/>
      <c r="CH21" s="320"/>
      <c r="CI21" s="320"/>
      <c r="CJ21" s="320"/>
      <c r="CK21" s="320"/>
      <c r="CL21" s="320"/>
      <c r="CM21" s="320"/>
      <c r="CN21" s="320"/>
      <c r="CO21" s="320"/>
      <c r="CP21" s="320"/>
      <c r="CQ21" s="320"/>
      <c r="CR21" s="320"/>
      <c r="CS21" s="320"/>
      <c r="CT21" s="320"/>
      <c r="CU21" s="320"/>
      <c r="CV21" s="320"/>
      <c r="CW21" s="320"/>
      <c r="CX21" s="320"/>
      <c r="CY21" s="320"/>
      <c r="CZ21" s="320"/>
      <c r="DA21" s="320"/>
      <c r="DB21" s="320"/>
      <c r="DC21" s="320"/>
      <c r="DD21" s="320"/>
      <c r="DE21" s="320"/>
      <c r="DF21" s="320"/>
      <c r="DG21" s="320"/>
      <c r="DH21" s="320"/>
      <c r="DI21" s="320"/>
      <c r="DJ21" s="320"/>
      <c r="DK21" s="320"/>
      <c r="DL21" s="320"/>
      <c r="DM21" s="320"/>
      <c r="DN21" s="320"/>
      <c r="DO21" s="320"/>
      <c r="DP21" s="320"/>
      <c r="DQ21" s="320"/>
      <c r="DR21" s="320"/>
      <c r="DS21" s="320"/>
      <c r="DT21" s="320"/>
      <c r="DU21" s="320"/>
      <c r="DV21" s="320"/>
      <c r="DW21" s="320"/>
      <c r="DX21" s="320"/>
      <c r="DY21" s="320"/>
      <c r="DZ21" s="320"/>
      <c r="EA21" s="320"/>
      <c r="EB21" s="320"/>
      <c r="EC21" s="320"/>
      <c r="ED21" s="320"/>
      <c r="EE21" s="320"/>
      <c r="EF21" s="320"/>
      <c r="EG21" s="320"/>
      <c r="EH21" s="320"/>
      <c r="EI21" s="320"/>
      <c r="EJ21" s="320"/>
      <c r="EK21" s="320"/>
      <c r="EL21" s="320"/>
      <c r="EM21" s="320"/>
      <c r="EN21" s="320"/>
      <c r="EO21" s="320"/>
      <c r="EP21" s="320"/>
      <c r="EQ21" s="320"/>
      <c r="ER21" s="320"/>
      <c r="ES21" s="320"/>
      <c r="ET21" s="320"/>
      <c r="EU21" s="320"/>
      <c r="EV21" s="320"/>
      <c r="EW21" s="320"/>
      <c r="EX21" s="320"/>
      <c r="EY21" s="320"/>
      <c r="EZ21" s="320"/>
      <c r="FA21" s="320"/>
      <c r="FB21" s="320"/>
      <c r="FC21" s="320"/>
      <c r="FD21" s="320"/>
      <c r="FE21" s="320"/>
      <c r="FF21" s="320"/>
      <c r="FG21" s="320"/>
      <c r="FH21" s="320"/>
      <c r="FI21" s="320"/>
      <c r="FJ21" s="320"/>
      <c r="FK21" s="320"/>
      <c r="FL21" s="320"/>
      <c r="FM21" s="320"/>
      <c r="FN21" s="320"/>
      <c r="FO21" s="320"/>
      <c r="FP21" s="320"/>
      <c r="FQ21" s="320"/>
      <c r="FR21" s="320"/>
      <c r="FS21" s="320"/>
      <c r="FT21" s="320"/>
      <c r="FU21" s="320"/>
      <c r="FV21" s="320"/>
      <c r="FW21" s="320"/>
      <c r="FX21" s="320"/>
      <c r="FY21" s="320"/>
      <c r="FZ21" s="320"/>
      <c r="GA21" s="320"/>
      <c r="GB21" s="320"/>
      <c r="GC21" s="320"/>
      <c r="GD21" s="320"/>
      <c r="GE21" s="320"/>
      <c r="GF21" s="320"/>
      <c r="GG21" s="320"/>
      <c r="GH21" s="320"/>
      <c r="GI21" s="320"/>
      <c r="GJ21" s="320"/>
      <c r="GK21" s="320"/>
      <c r="GL21" s="320"/>
      <c r="GM21" s="320"/>
      <c r="GN21" s="320"/>
      <c r="GO21" s="320"/>
      <c r="GP21" s="320"/>
      <c r="GQ21" s="320"/>
      <c r="GR21" s="320"/>
      <c r="GS21" s="320"/>
      <c r="GT21" s="320"/>
      <c r="GU21" s="320"/>
      <c r="GV21" s="320"/>
      <c r="GW21" s="320"/>
      <c r="GX21" s="320"/>
      <c r="GY21" s="320"/>
      <c r="GZ21" s="320"/>
      <c r="HA21" s="320"/>
      <c r="HB21" s="320"/>
      <c r="HC21" s="320"/>
      <c r="HD21" s="320"/>
      <c r="HE21" s="320"/>
      <c r="HF21" s="320"/>
      <c r="HG21" s="320"/>
      <c r="HH21" s="320"/>
      <c r="HI21" s="320"/>
      <c r="HJ21" s="320"/>
      <c r="HK21" s="320"/>
      <c r="HL21" s="320"/>
      <c r="HM21" s="320"/>
      <c r="HN21" s="320"/>
      <c r="HO21" s="320"/>
      <c r="HP21" s="320"/>
      <c r="HQ21" s="320"/>
      <c r="HR21" s="320"/>
      <c r="HS21" s="320"/>
      <c r="HT21" s="320"/>
      <c r="HU21" s="320"/>
      <c r="HV21" s="320"/>
      <c r="HW21" s="320"/>
      <c r="HX21" s="320"/>
      <c r="HY21" s="320"/>
      <c r="HZ21" s="320"/>
      <c r="IA21" s="320"/>
      <c r="IB21" s="320"/>
      <c r="IC21" s="320"/>
      <c r="ID21" s="320"/>
      <c r="IE21" s="320"/>
      <c r="IF21" s="320"/>
      <c r="IG21" s="320"/>
      <c r="IH21" s="320"/>
      <c r="II21" s="320"/>
      <c r="IJ21" s="320"/>
      <c r="IK21" s="320"/>
      <c r="IL21" s="320"/>
      <c r="IM21" s="320"/>
      <c r="IN21" s="320"/>
      <c r="IO21" s="320"/>
      <c r="IP21" s="320"/>
      <c r="IQ21" s="320"/>
      <c r="IR21" s="320"/>
      <c r="IS21" s="320"/>
      <c r="IT21" s="320"/>
      <c r="IU21" s="320"/>
      <c r="IV21" s="320"/>
      <c r="IW21" s="320"/>
      <c r="IX21" s="320"/>
      <c r="IY21" s="320"/>
    </row>
    <row r="22" spans="2:259" s="319" customFormat="1" ht="13.5" thickBot="1" x14ac:dyDescent="0.25">
      <c r="B22" s="922"/>
      <c r="C22" s="483"/>
      <c r="D22" s="329"/>
      <c r="E22" s="329"/>
      <c r="F22" s="308"/>
      <c r="G22" s="469">
        <v>0</v>
      </c>
      <c r="H22" s="566">
        <f t="shared" si="0"/>
        <v>0</v>
      </c>
      <c r="I22" s="306">
        <v>0</v>
      </c>
      <c r="J22" s="708">
        <v>0</v>
      </c>
      <c r="K22" s="566">
        <f t="shared" si="2"/>
        <v>0</v>
      </c>
      <c r="L22" s="923"/>
      <c r="M22" s="323"/>
      <c r="N22" s="327"/>
      <c r="O22" s="327"/>
      <c r="P22" s="322"/>
      <c r="Q22" s="322"/>
      <c r="R22" s="322"/>
      <c r="S22" s="325"/>
      <c r="T22" s="324"/>
      <c r="U22" s="324"/>
      <c r="V22" s="324"/>
      <c r="W22" s="324"/>
      <c r="X22" s="326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/>
      <c r="AZ22" s="320"/>
      <c r="BA22" s="320"/>
      <c r="BB22" s="320"/>
      <c r="BC22" s="320"/>
      <c r="BD22" s="320"/>
      <c r="BE22" s="320"/>
      <c r="BF22" s="320"/>
      <c r="BG22" s="320"/>
      <c r="BH22" s="320"/>
      <c r="BI22" s="320"/>
      <c r="BJ22" s="320"/>
      <c r="BK22" s="320"/>
      <c r="BL22" s="320"/>
      <c r="BM22" s="320"/>
      <c r="BN22" s="320"/>
      <c r="BO22" s="320"/>
      <c r="BP22" s="320"/>
      <c r="BQ22" s="320"/>
      <c r="BR22" s="320"/>
      <c r="BS22" s="320"/>
      <c r="BT22" s="320"/>
      <c r="BU22" s="320"/>
      <c r="BV22" s="320"/>
      <c r="BW22" s="320"/>
      <c r="BX22" s="320"/>
      <c r="BY22" s="320"/>
      <c r="BZ22" s="320"/>
      <c r="CA22" s="320"/>
      <c r="CB22" s="320"/>
      <c r="CC22" s="320"/>
      <c r="CD22" s="320"/>
      <c r="CE22" s="320"/>
      <c r="CF22" s="320"/>
      <c r="CG22" s="320"/>
      <c r="CH22" s="320"/>
      <c r="CI22" s="320"/>
      <c r="CJ22" s="320"/>
      <c r="CK22" s="320"/>
      <c r="CL22" s="320"/>
      <c r="CM22" s="320"/>
      <c r="CN22" s="320"/>
      <c r="CO22" s="320"/>
      <c r="CP22" s="320"/>
      <c r="CQ22" s="320"/>
      <c r="CR22" s="320"/>
      <c r="CS22" s="320"/>
      <c r="CT22" s="320"/>
      <c r="CU22" s="320"/>
      <c r="CV22" s="320"/>
      <c r="CW22" s="320"/>
      <c r="CX22" s="320"/>
      <c r="CY22" s="320"/>
      <c r="CZ22" s="320"/>
      <c r="DA22" s="320"/>
      <c r="DB22" s="320"/>
      <c r="DC22" s="320"/>
      <c r="DD22" s="320"/>
      <c r="DE22" s="320"/>
      <c r="DF22" s="320"/>
      <c r="DG22" s="320"/>
      <c r="DH22" s="320"/>
      <c r="DI22" s="320"/>
      <c r="DJ22" s="320"/>
      <c r="DK22" s="320"/>
      <c r="DL22" s="320"/>
      <c r="DM22" s="320"/>
      <c r="DN22" s="320"/>
      <c r="DO22" s="320"/>
      <c r="DP22" s="320"/>
      <c r="DQ22" s="320"/>
      <c r="DR22" s="320"/>
      <c r="DS22" s="320"/>
      <c r="DT22" s="320"/>
      <c r="DU22" s="320"/>
      <c r="DV22" s="320"/>
      <c r="DW22" s="320"/>
      <c r="DX22" s="320"/>
      <c r="DY22" s="320"/>
      <c r="DZ22" s="320"/>
      <c r="EA22" s="320"/>
      <c r="EB22" s="320"/>
      <c r="EC22" s="320"/>
      <c r="ED22" s="320"/>
      <c r="EE22" s="320"/>
      <c r="EF22" s="320"/>
      <c r="EG22" s="320"/>
      <c r="EH22" s="320"/>
      <c r="EI22" s="320"/>
      <c r="EJ22" s="320"/>
      <c r="EK22" s="320"/>
      <c r="EL22" s="320"/>
      <c r="EM22" s="320"/>
      <c r="EN22" s="320"/>
      <c r="EO22" s="320"/>
      <c r="EP22" s="320"/>
      <c r="EQ22" s="320"/>
      <c r="ER22" s="320"/>
      <c r="ES22" s="320"/>
      <c r="ET22" s="320"/>
      <c r="EU22" s="320"/>
      <c r="EV22" s="320"/>
      <c r="EW22" s="320"/>
      <c r="EX22" s="320"/>
      <c r="EY22" s="320"/>
      <c r="EZ22" s="320"/>
      <c r="FA22" s="320"/>
      <c r="FB22" s="320"/>
      <c r="FC22" s="320"/>
      <c r="FD22" s="320"/>
      <c r="FE22" s="320"/>
      <c r="FF22" s="320"/>
      <c r="FG22" s="320"/>
      <c r="FH22" s="320"/>
      <c r="FI22" s="320"/>
      <c r="FJ22" s="320"/>
      <c r="FK22" s="320"/>
      <c r="FL22" s="320"/>
      <c r="FM22" s="320"/>
      <c r="FN22" s="320"/>
      <c r="FO22" s="320"/>
      <c r="FP22" s="320"/>
      <c r="FQ22" s="320"/>
      <c r="FR22" s="320"/>
      <c r="FS22" s="320"/>
      <c r="FT22" s="320"/>
      <c r="FU22" s="320"/>
      <c r="FV22" s="320"/>
      <c r="FW22" s="320"/>
      <c r="FX22" s="320"/>
      <c r="FY22" s="320"/>
      <c r="FZ22" s="320"/>
      <c r="GA22" s="320"/>
      <c r="GB22" s="320"/>
      <c r="GC22" s="320"/>
      <c r="GD22" s="320"/>
      <c r="GE22" s="320"/>
      <c r="GF22" s="320"/>
      <c r="GG22" s="320"/>
      <c r="GH22" s="320"/>
      <c r="GI22" s="320"/>
      <c r="GJ22" s="320"/>
      <c r="GK22" s="320"/>
      <c r="GL22" s="320"/>
      <c r="GM22" s="320"/>
      <c r="GN22" s="320"/>
      <c r="GO22" s="320"/>
      <c r="GP22" s="320"/>
      <c r="GQ22" s="320"/>
      <c r="GR22" s="320"/>
      <c r="GS22" s="320"/>
      <c r="GT22" s="320"/>
      <c r="GU22" s="320"/>
      <c r="GV22" s="320"/>
      <c r="GW22" s="320"/>
      <c r="GX22" s="320"/>
      <c r="GY22" s="320"/>
      <c r="GZ22" s="320"/>
      <c r="HA22" s="320"/>
      <c r="HB22" s="320"/>
      <c r="HC22" s="320"/>
      <c r="HD22" s="320"/>
      <c r="HE22" s="320"/>
      <c r="HF22" s="320"/>
      <c r="HG22" s="320"/>
      <c r="HH22" s="320"/>
      <c r="HI22" s="320"/>
      <c r="HJ22" s="320"/>
      <c r="HK22" s="320"/>
      <c r="HL22" s="320"/>
      <c r="HM22" s="320"/>
      <c r="HN22" s="320"/>
      <c r="HO22" s="320"/>
      <c r="HP22" s="320"/>
      <c r="HQ22" s="320"/>
      <c r="HR22" s="320"/>
      <c r="HS22" s="320"/>
      <c r="HT22" s="320"/>
      <c r="HU22" s="320"/>
      <c r="HV22" s="320"/>
      <c r="HW22" s="320"/>
      <c r="HX22" s="320"/>
      <c r="HY22" s="320"/>
      <c r="HZ22" s="320"/>
      <c r="IA22" s="320"/>
      <c r="IB22" s="320"/>
      <c r="IC22" s="320"/>
      <c r="ID22" s="320"/>
      <c r="IE22" s="320"/>
      <c r="IF22" s="320"/>
      <c r="IG22" s="320"/>
      <c r="IH22" s="320"/>
      <c r="II22" s="320"/>
      <c r="IJ22" s="320"/>
      <c r="IK22" s="320"/>
      <c r="IL22" s="320"/>
      <c r="IM22" s="320"/>
      <c r="IN22" s="320"/>
      <c r="IO22" s="320"/>
      <c r="IP22" s="320"/>
      <c r="IQ22" s="320"/>
      <c r="IR22" s="320"/>
      <c r="IS22" s="320"/>
      <c r="IT22" s="320"/>
      <c r="IU22" s="320"/>
      <c r="IV22" s="320"/>
      <c r="IW22" s="320"/>
      <c r="IX22" s="320"/>
      <c r="IY22" s="320"/>
    </row>
    <row r="23" spans="2:259" s="319" customFormat="1" ht="12.75" customHeight="1" x14ac:dyDescent="0.2">
      <c r="B23" s="937" t="s">
        <v>224</v>
      </c>
      <c r="C23" s="490" t="s">
        <v>284</v>
      </c>
      <c r="D23" s="694" t="s">
        <v>285</v>
      </c>
      <c r="E23" s="694" t="s">
        <v>255</v>
      </c>
      <c r="F23" s="472" t="s">
        <v>219</v>
      </c>
      <c r="G23" s="467">
        <f>837335*12</f>
        <v>10048020</v>
      </c>
      <c r="H23" s="567">
        <f t="shared" si="0"/>
        <v>11354262.6</v>
      </c>
      <c r="I23" s="705">
        <v>151001</v>
      </c>
      <c r="J23" s="706">
        <v>145638</v>
      </c>
      <c r="K23" s="567">
        <f>SUM(H23:J23)</f>
        <v>11650901.6</v>
      </c>
      <c r="L23" s="938">
        <f>SUM(K23:K30)</f>
        <v>26436615.079999998</v>
      </c>
      <c r="M23" s="323"/>
      <c r="N23" s="327"/>
      <c r="O23" s="327"/>
      <c r="P23" s="322"/>
      <c r="Q23" s="322"/>
      <c r="R23" s="322"/>
      <c r="S23" s="325"/>
      <c r="T23" s="324"/>
      <c r="U23" s="324"/>
      <c r="V23" s="324"/>
      <c r="W23" s="324"/>
      <c r="X23" s="326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  <c r="CF23" s="320"/>
      <c r="CG23" s="320"/>
      <c r="CH23" s="320"/>
      <c r="CI23" s="320"/>
      <c r="CJ23" s="320"/>
      <c r="CK23" s="320"/>
      <c r="CL23" s="320"/>
      <c r="CM23" s="320"/>
      <c r="CN23" s="320"/>
      <c r="CO23" s="320"/>
      <c r="CP23" s="320"/>
      <c r="CQ23" s="320"/>
      <c r="CR23" s="320"/>
      <c r="CS23" s="320"/>
      <c r="CT23" s="320"/>
      <c r="CU23" s="320"/>
      <c r="CV23" s="320"/>
      <c r="CW23" s="320"/>
      <c r="CX23" s="320"/>
      <c r="CY23" s="320"/>
      <c r="CZ23" s="320"/>
      <c r="DA23" s="320"/>
      <c r="DB23" s="320"/>
      <c r="DC23" s="320"/>
      <c r="DD23" s="320"/>
      <c r="DE23" s="320"/>
      <c r="DF23" s="320"/>
      <c r="DG23" s="320"/>
      <c r="DH23" s="320"/>
      <c r="DI23" s="320"/>
      <c r="DJ23" s="320"/>
      <c r="DK23" s="320"/>
      <c r="DL23" s="320"/>
      <c r="DM23" s="320"/>
      <c r="DN23" s="320"/>
      <c r="DO23" s="320"/>
      <c r="DP23" s="320"/>
      <c r="DQ23" s="320"/>
      <c r="DR23" s="320"/>
      <c r="DS23" s="320"/>
      <c r="DT23" s="320"/>
      <c r="DU23" s="320"/>
      <c r="DV23" s="320"/>
      <c r="DW23" s="320"/>
      <c r="DX23" s="320"/>
      <c r="DY23" s="320"/>
      <c r="DZ23" s="320"/>
      <c r="EA23" s="320"/>
      <c r="EB23" s="320"/>
      <c r="EC23" s="320"/>
      <c r="ED23" s="320"/>
      <c r="EE23" s="320"/>
      <c r="EF23" s="320"/>
      <c r="EG23" s="320"/>
      <c r="EH23" s="320"/>
      <c r="EI23" s="320"/>
      <c r="EJ23" s="320"/>
      <c r="EK23" s="320"/>
      <c r="EL23" s="320"/>
      <c r="EM23" s="320"/>
      <c r="EN23" s="320"/>
      <c r="EO23" s="320"/>
      <c r="EP23" s="320"/>
      <c r="EQ23" s="320"/>
      <c r="ER23" s="320"/>
      <c r="ES23" s="320"/>
      <c r="ET23" s="320"/>
      <c r="EU23" s="320"/>
      <c r="EV23" s="320"/>
      <c r="EW23" s="320"/>
      <c r="EX23" s="320"/>
      <c r="EY23" s="320"/>
      <c r="EZ23" s="320"/>
      <c r="FA23" s="320"/>
      <c r="FB23" s="320"/>
      <c r="FC23" s="320"/>
      <c r="FD23" s="320"/>
      <c r="FE23" s="320"/>
      <c r="FF23" s="320"/>
      <c r="FG23" s="320"/>
      <c r="FH23" s="320"/>
      <c r="FI23" s="320"/>
      <c r="FJ23" s="320"/>
      <c r="FK23" s="320"/>
      <c r="FL23" s="320"/>
      <c r="FM23" s="320"/>
      <c r="FN23" s="320"/>
      <c r="FO23" s="320"/>
      <c r="FP23" s="320"/>
      <c r="FQ23" s="320"/>
      <c r="FR23" s="320"/>
      <c r="FS23" s="320"/>
      <c r="FT23" s="320"/>
      <c r="FU23" s="320"/>
      <c r="FV23" s="320"/>
      <c r="FW23" s="320"/>
      <c r="FX23" s="320"/>
      <c r="FY23" s="320"/>
      <c r="FZ23" s="320"/>
      <c r="GA23" s="320"/>
      <c r="GB23" s="320"/>
      <c r="GC23" s="320"/>
      <c r="GD23" s="320"/>
      <c r="GE23" s="320"/>
      <c r="GF23" s="320"/>
      <c r="GG23" s="320"/>
      <c r="GH23" s="320"/>
      <c r="GI23" s="320"/>
      <c r="GJ23" s="320"/>
      <c r="GK23" s="320"/>
      <c r="GL23" s="320"/>
      <c r="GM23" s="320"/>
      <c r="GN23" s="320"/>
      <c r="GO23" s="320"/>
      <c r="GP23" s="320"/>
      <c r="GQ23" s="320"/>
      <c r="GR23" s="320"/>
      <c r="GS23" s="320"/>
      <c r="GT23" s="320"/>
      <c r="GU23" s="320"/>
      <c r="GV23" s="320"/>
      <c r="GW23" s="320"/>
      <c r="GX23" s="320"/>
      <c r="GY23" s="320"/>
      <c r="GZ23" s="320"/>
      <c r="HA23" s="320"/>
      <c r="HB23" s="320"/>
      <c r="HC23" s="320"/>
      <c r="HD23" s="320"/>
      <c r="HE23" s="320"/>
      <c r="HF23" s="320"/>
      <c r="HG23" s="320"/>
      <c r="HH23" s="320"/>
      <c r="HI23" s="320"/>
      <c r="HJ23" s="320"/>
      <c r="HK23" s="320"/>
      <c r="HL23" s="320"/>
      <c r="HM23" s="320"/>
      <c r="HN23" s="320"/>
      <c r="HO23" s="320"/>
      <c r="HP23" s="320"/>
      <c r="HQ23" s="320"/>
      <c r="HR23" s="320"/>
      <c r="HS23" s="320"/>
      <c r="HT23" s="320"/>
      <c r="HU23" s="320"/>
      <c r="HV23" s="320"/>
      <c r="HW23" s="320"/>
      <c r="HX23" s="320"/>
      <c r="HY23" s="320"/>
      <c r="HZ23" s="320"/>
      <c r="IA23" s="320"/>
      <c r="IB23" s="320"/>
      <c r="IC23" s="320"/>
      <c r="ID23" s="320"/>
      <c r="IE23" s="320"/>
      <c r="IF23" s="320"/>
      <c r="IG23" s="320"/>
      <c r="IH23" s="320"/>
      <c r="II23" s="320"/>
      <c r="IJ23" s="320"/>
      <c r="IK23" s="320"/>
      <c r="IL23" s="320"/>
      <c r="IM23" s="320"/>
      <c r="IN23" s="320"/>
      <c r="IO23" s="320"/>
      <c r="IP23" s="320"/>
      <c r="IQ23" s="320"/>
      <c r="IR23" s="320"/>
      <c r="IS23" s="320"/>
      <c r="IT23" s="320"/>
      <c r="IU23" s="320"/>
      <c r="IV23" s="320"/>
      <c r="IW23" s="320"/>
      <c r="IX23" s="320"/>
      <c r="IY23" s="320"/>
    </row>
    <row r="24" spans="2:259" s="319" customFormat="1" ht="12.75" customHeight="1" x14ac:dyDescent="0.2">
      <c r="B24" s="774"/>
      <c r="C24" s="478" t="s">
        <v>286</v>
      </c>
      <c r="D24" s="331" t="s">
        <v>287</v>
      </c>
      <c r="E24" s="331" t="s">
        <v>257</v>
      </c>
      <c r="F24" s="307" t="s">
        <v>219</v>
      </c>
      <c r="G24" s="468">
        <f>525612*12</f>
        <v>6307344</v>
      </c>
      <c r="H24" s="565">
        <f t="shared" si="0"/>
        <v>7127298.7199999997</v>
      </c>
      <c r="I24" s="328">
        <f t="shared" ref="I24" si="5">101037+171709</f>
        <v>272746</v>
      </c>
      <c r="J24" s="705">
        <v>149030</v>
      </c>
      <c r="K24" s="565">
        <f t="shared" si="2"/>
        <v>7549074.7199999997</v>
      </c>
      <c r="L24" s="923"/>
      <c r="M24" s="323"/>
      <c r="N24" s="327"/>
      <c r="O24" s="327"/>
      <c r="P24" s="322"/>
      <c r="Q24" s="322"/>
      <c r="R24" s="322"/>
      <c r="S24" s="325"/>
      <c r="T24" s="324"/>
      <c r="U24" s="324"/>
      <c r="V24" s="324"/>
      <c r="W24" s="324"/>
      <c r="X24" s="326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  <c r="CF24" s="320"/>
      <c r="CG24" s="320"/>
      <c r="CH24" s="320"/>
      <c r="CI24" s="320"/>
      <c r="CJ24" s="320"/>
      <c r="CK24" s="320"/>
      <c r="CL24" s="320"/>
      <c r="CM24" s="320"/>
      <c r="CN24" s="320"/>
      <c r="CO24" s="320"/>
      <c r="CP24" s="320"/>
      <c r="CQ24" s="320"/>
      <c r="CR24" s="320"/>
      <c r="CS24" s="320"/>
      <c r="CT24" s="320"/>
      <c r="CU24" s="320"/>
      <c r="CV24" s="320"/>
      <c r="CW24" s="320"/>
      <c r="CX24" s="320"/>
      <c r="CY24" s="320"/>
      <c r="CZ24" s="320"/>
      <c r="DA24" s="320"/>
      <c r="DB24" s="320"/>
      <c r="DC24" s="320"/>
      <c r="DD24" s="320"/>
      <c r="DE24" s="320"/>
      <c r="DF24" s="320"/>
      <c r="DG24" s="320"/>
      <c r="DH24" s="320"/>
      <c r="DI24" s="320"/>
      <c r="DJ24" s="320"/>
      <c r="DK24" s="320"/>
      <c r="DL24" s="320"/>
      <c r="DM24" s="320"/>
      <c r="DN24" s="320"/>
      <c r="DO24" s="320"/>
      <c r="DP24" s="320"/>
      <c r="DQ24" s="320"/>
      <c r="DR24" s="320"/>
      <c r="DS24" s="320"/>
      <c r="DT24" s="320"/>
      <c r="DU24" s="320"/>
      <c r="DV24" s="320"/>
      <c r="DW24" s="320"/>
      <c r="DX24" s="320"/>
      <c r="DY24" s="320"/>
      <c r="DZ24" s="320"/>
      <c r="EA24" s="320"/>
      <c r="EB24" s="320"/>
      <c r="EC24" s="320"/>
      <c r="ED24" s="320"/>
      <c r="EE24" s="320"/>
      <c r="EF24" s="320"/>
      <c r="EG24" s="320"/>
      <c r="EH24" s="320"/>
      <c r="EI24" s="320"/>
      <c r="EJ24" s="320"/>
      <c r="EK24" s="320"/>
      <c r="EL24" s="320"/>
      <c r="EM24" s="320"/>
      <c r="EN24" s="320"/>
      <c r="EO24" s="320"/>
      <c r="EP24" s="320"/>
      <c r="EQ24" s="320"/>
      <c r="ER24" s="320"/>
      <c r="ES24" s="320"/>
      <c r="ET24" s="320"/>
      <c r="EU24" s="320"/>
      <c r="EV24" s="320"/>
      <c r="EW24" s="320"/>
      <c r="EX24" s="320"/>
      <c r="EY24" s="320"/>
      <c r="EZ24" s="320"/>
      <c r="FA24" s="320"/>
      <c r="FB24" s="320"/>
      <c r="FC24" s="320"/>
      <c r="FD24" s="320"/>
      <c r="FE24" s="320"/>
      <c r="FF24" s="320"/>
      <c r="FG24" s="320"/>
      <c r="FH24" s="320"/>
      <c r="FI24" s="320"/>
      <c r="FJ24" s="320"/>
      <c r="FK24" s="320"/>
      <c r="FL24" s="320"/>
      <c r="FM24" s="320"/>
      <c r="FN24" s="320"/>
      <c r="FO24" s="320"/>
      <c r="FP24" s="320"/>
      <c r="FQ24" s="320"/>
      <c r="FR24" s="320"/>
      <c r="FS24" s="320"/>
      <c r="FT24" s="320"/>
      <c r="FU24" s="320"/>
      <c r="FV24" s="320"/>
      <c r="FW24" s="320"/>
      <c r="FX24" s="320"/>
      <c r="FY24" s="320"/>
      <c r="FZ24" s="320"/>
      <c r="GA24" s="320"/>
      <c r="GB24" s="320"/>
      <c r="GC24" s="320"/>
      <c r="GD24" s="320"/>
      <c r="GE24" s="320"/>
      <c r="GF24" s="320"/>
      <c r="GG24" s="320"/>
      <c r="GH24" s="320"/>
      <c r="GI24" s="320"/>
      <c r="GJ24" s="320"/>
      <c r="GK24" s="320"/>
      <c r="GL24" s="320"/>
      <c r="GM24" s="320"/>
      <c r="GN24" s="320"/>
      <c r="GO24" s="320"/>
      <c r="GP24" s="320"/>
      <c r="GQ24" s="320"/>
      <c r="GR24" s="320"/>
      <c r="GS24" s="320"/>
      <c r="GT24" s="320"/>
      <c r="GU24" s="320"/>
      <c r="GV24" s="320"/>
      <c r="GW24" s="320"/>
      <c r="GX24" s="320"/>
      <c r="GY24" s="320"/>
      <c r="GZ24" s="320"/>
      <c r="HA24" s="320"/>
      <c r="HB24" s="320"/>
      <c r="HC24" s="320"/>
      <c r="HD24" s="320"/>
      <c r="HE24" s="320"/>
      <c r="HF24" s="320"/>
      <c r="HG24" s="320"/>
      <c r="HH24" s="320"/>
      <c r="HI24" s="320"/>
      <c r="HJ24" s="320"/>
      <c r="HK24" s="320"/>
      <c r="HL24" s="320"/>
      <c r="HM24" s="320"/>
      <c r="HN24" s="320"/>
      <c r="HO24" s="320"/>
      <c r="HP24" s="320"/>
      <c r="HQ24" s="320"/>
      <c r="HR24" s="320"/>
      <c r="HS24" s="320"/>
      <c r="HT24" s="320"/>
      <c r="HU24" s="320"/>
      <c r="HV24" s="320"/>
      <c r="HW24" s="320"/>
      <c r="HX24" s="320"/>
      <c r="HY24" s="320"/>
      <c r="HZ24" s="320"/>
      <c r="IA24" s="320"/>
      <c r="IB24" s="320"/>
      <c r="IC24" s="320"/>
      <c r="ID24" s="320"/>
      <c r="IE24" s="320"/>
      <c r="IF24" s="320"/>
      <c r="IG24" s="320"/>
      <c r="IH24" s="320"/>
      <c r="II24" s="320"/>
      <c r="IJ24" s="320"/>
      <c r="IK24" s="320"/>
      <c r="IL24" s="320"/>
      <c r="IM24" s="320"/>
      <c r="IN24" s="320"/>
      <c r="IO24" s="320"/>
      <c r="IP24" s="320"/>
      <c r="IQ24" s="320"/>
      <c r="IR24" s="320"/>
      <c r="IS24" s="320"/>
      <c r="IT24" s="320"/>
      <c r="IU24" s="320"/>
      <c r="IV24" s="320"/>
      <c r="IW24" s="320"/>
      <c r="IX24" s="320"/>
      <c r="IY24" s="320"/>
    </row>
    <row r="25" spans="2:259" s="319" customFormat="1" ht="12.75" customHeight="1" x14ac:dyDescent="0.2">
      <c r="B25" s="774"/>
      <c r="C25" s="478" t="s">
        <v>288</v>
      </c>
      <c r="D25" s="331" t="s">
        <v>289</v>
      </c>
      <c r="E25" s="331" t="s">
        <v>256</v>
      </c>
      <c r="F25" s="307" t="s">
        <v>219</v>
      </c>
      <c r="G25" s="468">
        <f>502571*12</f>
        <v>6030852</v>
      </c>
      <c r="H25" s="565">
        <f t="shared" si="0"/>
        <v>6814862.7599999998</v>
      </c>
      <c r="I25" s="328">
        <v>272746</v>
      </c>
      <c r="J25" s="705">
        <v>149030</v>
      </c>
      <c r="K25" s="565">
        <f t="shared" si="2"/>
        <v>7236638.7599999998</v>
      </c>
      <c r="L25" s="923"/>
      <c r="M25" s="323"/>
      <c r="N25" s="327"/>
      <c r="O25" s="327"/>
      <c r="P25" s="322"/>
      <c r="Q25" s="322"/>
      <c r="R25" s="322"/>
      <c r="S25" s="325"/>
      <c r="T25" s="324"/>
      <c r="U25" s="324"/>
      <c r="V25" s="324"/>
      <c r="W25" s="324"/>
      <c r="X25" s="326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  <c r="BS25" s="320"/>
      <c r="BT25" s="320"/>
      <c r="BU25" s="320"/>
      <c r="BV25" s="320"/>
      <c r="BW25" s="320"/>
      <c r="BX25" s="320"/>
      <c r="BY25" s="320"/>
      <c r="BZ25" s="320"/>
      <c r="CA25" s="320"/>
      <c r="CB25" s="320"/>
      <c r="CC25" s="320"/>
      <c r="CD25" s="320"/>
      <c r="CE25" s="320"/>
      <c r="CF25" s="320"/>
      <c r="CG25" s="320"/>
      <c r="CH25" s="320"/>
      <c r="CI25" s="320"/>
      <c r="CJ25" s="320"/>
      <c r="CK25" s="320"/>
      <c r="CL25" s="320"/>
      <c r="CM25" s="320"/>
      <c r="CN25" s="320"/>
      <c r="CO25" s="320"/>
      <c r="CP25" s="320"/>
      <c r="CQ25" s="320"/>
      <c r="CR25" s="320"/>
      <c r="CS25" s="320"/>
      <c r="CT25" s="320"/>
      <c r="CU25" s="320"/>
      <c r="CV25" s="320"/>
      <c r="CW25" s="320"/>
      <c r="CX25" s="320"/>
      <c r="CY25" s="320"/>
      <c r="CZ25" s="320"/>
      <c r="DA25" s="320"/>
      <c r="DB25" s="320"/>
      <c r="DC25" s="320"/>
      <c r="DD25" s="320"/>
      <c r="DE25" s="320"/>
      <c r="DF25" s="320"/>
      <c r="DG25" s="320"/>
      <c r="DH25" s="320"/>
      <c r="DI25" s="320"/>
      <c r="DJ25" s="320"/>
      <c r="DK25" s="320"/>
      <c r="DL25" s="320"/>
      <c r="DM25" s="320"/>
      <c r="DN25" s="320"/>
      <c r="DO25" s="320"/>
      <c r="DP25" s="320"/>
      <c r="DQ25" s="320"/>
      <c r="DR25" s="320"/>
      <c r="DS25" s="320"/>
      <c r="DT25" s="320"/>
      <c r="DU25" s="320"/>
      <c r="DV25" s="320"/>
      <c r="DW25" s="320"/>
      <c r="DX25" s="320"/>
      <c r="DY25" s="320"/>
      <c r="DZ25" s="320"/>
      <c r="EA25" s="320"/>
      <c r="EB25" s="320"/>
      <c r="EC25" s="320"/>
      <c r="ED25" s="320"/>
      <c r="EE25" s="320"/>
      <c r="EF25" s="320"/>
      <c r="EG25" s="320"/>
      <c r="EH25" s="320"/>
      <c r="EI25" s="320"/>
      <c r="EJ25" s="320"/>
      <c r="EK25" s="320"/>
      <c r="EL25" s="320"/>
      <c r="EM25" s="320"/>
      <c r="EN25" s="320"/>
      <c r="EO25" s="320"/>
      <c r="EP25" s="320"/>
      <c r="EQ25" s="320"/>
      <c r="ER25" s="320"/>
      <c r="ES25" s="320"/>
      <c r="ET25" s="320"/>
      <c r="EU25" s="320"/>
      <c r="EV25" s="320"/>
      <c r="EW25" s="320"/>
      <c r="EX25" s="320"/>
      <c r="EY25" s="320"/>
      <c r="EZ25" s="320"/>
      <c r="FA25" s="320"/>
      <c r="FB25" s="320"/>
      <c r="FC25" s="320"/>
      <c r="FD25" s="320"/>
      <c r="FE25" s="320"/>
      <c r="FF25" s="320"/>
      <c r="FG25" s="320"/>
      <c r="FH25" s="320"/>
      <c r="FI25" s="320"/>
      <c r="FJ25" s="320"/>
      <c r="FK25" s="320"/>
      <c r="FL25" s="320"/>
      <c r="FM25" s="320"/>
      <c r="FN25" s="320"/>
      <c r="FO25" s="320"/>
      <c r="FP25" s="320"/>
      <c r="FQ25" s="320"/>
      <c r="FR25" s="320"/>
      <c r="FS25" s="320"/>
      <c r="FT25" s="320"/>
      <c r="FU25" s="320"/>
      <c r="FV25" s="320"/>
      <c r="FW25" s="320"/>
      <c r="FX25" s="320"/>
      <c r="FY25" s="320"/>
      <c r="FZ25" s="320"/>
      <c r="GA25" s="320"/>
      <c r="GB25" s="320"/>
      <c r="GC25" s="320"/>
      <c r="GD25" s="320"/>
      <c r="GE25" s="320"/>
      <c r="GF25" s="320"/>
      <c r="GG25" s="320"/>
      <c r="GH25" s="320"/>
      <c r="GI25" s="320"/>
      <c r="GJ25" s="320"/>
      <c r="GK25" s="320"/>
      <c r="GL25" s="320"/>
      <c r="GM25" s="320"/>
      <c r="GN25" s="320"/>
      <c r="GO25" s="320"/>
      <c r="GP25" s="320"/>
      <c r="GQ25" s="320"/>
      <c r="GR25" s="320"/>
      <c r="GS25" s="320"/>
      <c r="GT25" s="320"/>
      <c r="GU25" s="320"/>
      <c r="GV25" s="320"/>
      <c r="GW25" s="320"/>
      <c r="GX25" s="320"/>
      <c r="GY25" s="320"/>
      <c r="GZ25" s="320"/>
      <c r="HA25" s="320"/>
      <c r="HB25" s="320"/>
      <c r="HC25" s="320"/>
      <c r="HD25" s="320"/>
      <c r="HE25" s="320"/>
      <c r="HF25" s="320"/>
      <c r="HG25" s="320"/>
      <c r="HH25" s="320"/>
      <c r="HI25" s="320"/>
      <c r="HJ25" s="320"/>
      <c r="HK25" s="320"/>
      <c r="HL25" s="320"/>
      <c r="HM25" s="320"/>
      <c r="HN25" s="320"/>
      <c r="HO25" s="320"/>
      <c r="HP25" s="320"/>
      <c r="HQ25" s="320"/>
      <c r="HR25" s="320"/>
      <c r="HS25" s="320"/>
      <c r="HT25" s="320"/>
      <c r="HU25" s="320"/>
      <c r="HV25" s="320"/>
      <c r="HW25" s="320"/>
      <c r="HX25" s="320"/>
      <c r="HY25" s="320"/>
      <c r="HZ25" s="320"/>
      <c r="IA25" s="320"/>
      <c r="IB25" s="320"/>
      <c r="IC25" s="320"/>
      <c r="ID25" s="320"/>
      <c r="IE25" s="320"/>
      <c r="IF25" s="320"/>
      <c r="IG25" s="320"/>
      <c r="IH25" s="320"/>
      <c r="II25" s="320"/>
      <c r="IJ25" s="320"/>
      <c r="IK25" s="320"/>
      <c r="IL25" s="320"/>
      <c r="IM25" s="320"/>
      <c r="IN25" s="320"/>
      <c r="IO25" s="320"/>
      <c r="IP25" s="320"/>
      <c r="IQ25" s="320"/>
      <c r="IR25" s="320"/>
      <c r="IS25" s="320"/>
      <c r="IT25" s="320"/>
      <c r="IU25" s="320"/>
      <c r="IV25" s="320"/>
      <c r="IW25" s="320"/>
      <c r="IX25" s="320"/>
      <c r="IY25" s="320"/>
    </row>
    <row r="26" spans="2:259" s="319" customFormat="1" ht="12.75" customHeight="1" x14ac:dyDescent="0.2">
      <c r="B26" s="774"/>
      <c r="C26" s="478"/>
      <c r="D26" s="331"/>
      <c r="E26" s="331"/>
      <c r="F26" s="307"/>
      <c r="G26" s="468">
        <v>0</v>
      </c>
      <c r="H26" s="565">
        <f t="shared" si="0"/>
        <v>0</v>
      </c>
      <c r="I26" s="328">
        <v>0</v>
      </c>
      <c r="J26" s="328">
        <v>0</v>
      </c>
      <c r="K26" s="565">
        <f t="shared" si="2"/>
        <v>0</v>
      </c>
      <c r="L26" s="923"/>
      <c r="M26" s="323"/>
      <c r="N26" s="327"/>
      <c r="O26" s="327"/>
      <c r="P26" s="322"/>
      <c r="Q26" s="322"/>
      <c r="R26" s="322"/>
      <c r="S26" s="325"/>
      <c r="T26" s="324"/>
      <c r="U26" s="324"/>
      <c r="V26" s="324"/>
      <c r="W26" s="324"/>
      <c r="X26" s="326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  <c r="AP26" s="320"/>
      <c r="AQ26" s="320"/>
      <c r="AR26" s="320"/>
      <c r="AS26" s="320"/>
      <c r="AT26" s="320"/>
      <c r="AU26" s="320"/>
      <c r="AV26" s="320"/>
      <c r="AW26" s="320"/>
      <c r="AX26" s="320"/>
      <c r="AY26" s="320"/>
      <c r="AZ26" s="320"/>
      <c r="BA26" s="320"/>
      <c r="BB26" s="320"/>
      <c r="BC26" s="320"/>
      <c r="BD26" s="320"/>
      <c r="BE26" s="320"/>
      <c r="BF26" s="320"/>
      <c r="BG26" s="320"/>
      <c r="BH26" s="320"/>
      <c r="BI26" s="320"/>
      <c r="BJ26" s="320"/>
      <c r="BK26" s="320"/>
      <c r="BL26" s="320"/>
      <c r="BM26" s="320"/>
      <c r="BN26" s="320"/>
      <c r="BO26" s="320"/>
      <c r="BP26" s="320"/>
      <c r="BQ26" s="320"/>
      <c r="BR26" s="320"/>
      <c r="BS26" s="320"/>
      <c r="BT26" s="320"/>
      <c r="BU26" s="320"/>
      <c r="BV26" s="320"/>
      <c r="BW26" s="320"/>
      <c r="BX26" s="320"/>
      <c r="BY26" s="320"/>
      <c r="BZ26" s="320"/>
      <c r="CA26" s="320"/>
      <c r="CB26" s="320"/>
      <c r="CC26" s="320"/>
      <c r="CD26" s="320"/>
      <c r="CE26" s="320"/>
      <c r="CF26" s="320"/>
      <c r="CG26" s="320"/>
      <c r="CH26" s="320"/>
      <c r="CI26" s="320"/>
      <c r="CJ26" s="320"/>
      <c r="CK26" s="320"/>
      <c r="CL26" s="320"/>
      <c r="CM26" s="320"/>
      <c r="CN26" s="320"/>
      <c r="CO26" s="320"/>
      <c r="CP26" s="320"/>
      <c r="CQ26" s="320"/>
      <c r="CR26" s="320"/>
      <c r="CS26" s="320"/>
      <c r="CT26" s="320"/>
      <c r="CU26" s="320"/>
      <c r="CV26" s="320"/>
      <c r="CW26" s="320"/>
      <c r="CX26" s="320"/>
      <c r="CY26" s="320"/>
      <c r="CZ26" s="320"/>
      <c r="DA26" s="320"/>
      <c r="DB26" s="320"/>
      <c r="DC26" s="320"/>
      <c r="DD26" s="320"/>
      <c r="DE26" s="320"/>
      <c r="DF26" s="320"/>
      <c r="DG26" s="320"/>
      <c r="DH26" s="320"/>
      <c r="DI26" s="320"/>
      <c r="DJ26" s="320"/>
      <c r="DK26" s="320"/>
      <c r="DL26" s="320"/>
      <c r="DM26" s="320"/>
      <c r="DN26" s="320"/>
      <c r="DO26" s="320"/>
      <c r="DP26" s="320"/>
      <c r="DQ26" s="320"/>
      <c r="DR26" s="320"/>
      <c r="DS26" s="320"/>
      <c r="DT26" s="320"/>
      <c r="DU26" s="320"/>
      <c r="DV26" s="320"/>
      <c r="DW26" s="320"/>
      <c r="DX26" s="320"/>
      <c r="DY26" s="320"/>
      <c r="DZ26" s="320"/>
      <c r="EA26" s="320"/>
      <c r="EB26" s="320"/>
      <c r="EC26" s="320"/>
      <c r="ED26" s="320"/>
      <c r="EE26" s="320"/>
      <c r="EF26" s="320"/>
      <c r="EG26" s="320"/>
      <c r="EH26" s="320"/>
      <c r="EI26" s="320"/>
      <c r="EJ26" s="320"/>
      <c r="EK26" s="320"/>
      <c r="EL26" s="320"/>
      <c r="EM26" s="320"/>
      <c r="EN26" s="320"/>
      <c r="EO26" s="320"/>
      <c r="EP26" s="320"/>
      <c r="EQ26" s="320"/>
      <c r="ER26" s="320"/>
      <c r="ES26" s="320"/>
      <c r="ET26" s="320"/>
      <c r="EU26" s="320"/>
      <c r="EV26" s="320"/>
      <c r="EW26" s="320"/>
      <c r="EX26" s="320"/>
      <c r="EY26" s="320"/>
      <c r="EZ26" s="320"/>
      <c r="FA26" s="320"/>
      <c r="FB26" s="320"/>
      <c r="FC26" s="320"/>
      <c r="FD26" s="320"/>
      <c r="FE26" s="320"/>
      <c r="FF26" s="320"/>
      <c r="FG26" s="320"/>
      <c r="FH26" s="320"/>
      <c r="FI26" s="320"/>
      <c r="FJ26" s="320"/>
      <c r="FK26" s="320"/>
      <c r="FL26" s="320"/>
      <c r="FM26" s="320"/>
      <c r="FN26" s="320"/>
      <c r="FO26" s="320"/>
      <c r="FP26" s="320"/>
      <c r="FQ26" s="320"/>
      <c r="FR26" s="320"/>
      <c r="FS26" s="320"/>
      <c r="FT26" s="320"/>
      <c r="FU26" s="320"/>
      <c r="FV26" s="320"/>
      <c r="FW26" s="320"/>
      <c r="FX26" s="320"/>
      <c r="FY26" s="320"/>
      <c r="FZ26" s="320"/>
      <c r="GA26" s="320"/>
      <c r="GB26" s="320"/>
      <c r="GC26" s="320"/>
      <c r="GD26" s="320"/>
      <c r="GE26" s="320"/>
      <c r="GF26" s="320"/>
      <c r="GG26" s="320"/>
      <c r="GH26" s="320"/>
      <c r="GI26" s="320"/>
      <c r="GJ26" s="320"/>
      <c r="GK26" s="320"/>
      <c r="GL26" s="320"/>
      <c r="GM26" s="320"/>
      <c r="GN26" s="320"/>
      <c r="GO26" s="320"/>
      <c r="GP26" s="320"/>
      <c r="GQ26" s="320"/>
      <c r="GR26" s="320"/>
      <c r="GS26" s="320"/>
      <c r="GT26" s="320"/>
      <c r="GU26" s="320"/>
      <c r="GV26" s="320"/>
      <c r="GW26" s="320"/>
      <c r="GX26" s="320"/>
      <c r="GY26" s="320"/>
      <c r="GZ26" s="320"/>
      <c r="HA26" s="320"/>
      <c r="HB26" s="320"/>
      <c r="HC26" s="320"/>
      <c r="HD26" s="320"/>
      <c r="HE26" s="320"/>
      <c r="HF26" s="320"/>
      <c r="HG26" s="320"/>
      <c r="HH26" s="320"/>
      <c r="HI26" s="320"/>
      <c r="HJ26" s="320"/>
      <c r="HK26" s="320"/>
      <c r="HL26" s="320"/>
      <c r="HM26" s="320"/>
      <c r="HN26" s="320"/>
      <c r="HO26" s="320"/>
      <c r="HP26" s="320"/>
      <c r="HQ26" s="320"/>
      <c r="HR26" s="320"/>
      <c r="HS26" s="320"/>
      <c r="HT26" s="320"/>
      <c r="HU26" s="320"/>
      <c r="HV26" s="320"/>
      <c r="HW26" s="320"/>
      <c r="HX26" s="320"/>
      <c r="HY26" s="320"/>
      <c r="HZ26" s="320"/>
      <c r="IA26" s="320"/>
      <c r="IB26" s="320"/>
      <c r="IC26" s="320"/>
      <c r="ID26" s="320"/>
      <c r="IE26" s="320"/>
      <c r="IF26" s="320"/>
      <c r="IG26" s="320"/>
      <c r="IH26" s="320"/>
      <c r="II26" s="320"/>
      <c r="IJ26" s="320"/>
      <c r="IK26" s="320"/>
      <c r="IL26" s="320"/>
      <c r="IM26" s="320"/>
      <c r="IN26" s="320"/>
      <c r="IO26" s="320"/>
      <c r="IP26" s="320"/>
      <c r="IQ26" s="320"/>
      <c r="IR26" s="320"/>
      <c r="IS26" s="320"/>
      <c r="IT26" s="320"/>
      <c r="IU26" s="320"/>
      <c r="IV26" s="320"/>
      <c r="IW26" s="320"/>
      <c r="IX26" s="320"/>
      <c r="IY26" s="320"/>
    </row>
    <row r="27" spans="2:259" s="319" customFormat="1" ht="12.75" customHeight="1" x14ac:dyDescent="0.2">
      <c r="B27" s="774"/>
      <c r="C27" s="478"/>
      <c r="D27" s="331"/>
      <c r="E27" s="331"/>
      <c r="F27" s="307"/>
      <c r="G27" s="468">
        <v>0</v>
      </c>
      <c r="H27" s="565">
        <f t="shared" si="0"/>
        <v>0</v>
      </c>
      <c r="I27" s="328">
        <v>0</v>
      </c>
      <c r="J27" s="328">
        <v>0</v>
      </c>
      <c r="K27" s="565">
        <f t="shared" si="2"/>
        <v>0</v>
      </c>
      <c r="L27" s="923"/>
      <c r="M27" s="323"/>
      <c r="N27" s="327"/>
      <c r="O27" s="327"/>
      <c r="P27" s="322"/>
      <c r="Q27" s="322"/>
      <c r="R27" s="322"/>
      <c r="S27" s="325"/>
      <c r="T27" s="324"/>
      <c r="U27" s="324"/>
      <c r="V27" s="324"/>
      <c r="W27" s="324"/>
      <c r="X27" s="326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0"/>
      <c r="BN27" s="320"/>
      <c r="BO27" s="320"/>
      <c r="BP27" s="320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320"/>
      <c r="CB27" s="320"/>
      <c r="CC27" s="320"/>
      <c r="CD27" s="320"/>
      <c r="CE27" s="320"/>
      <c r="CF27" s="320"/>
      <c r="CG27" s="320"/>
      <c r="CH27" s="320"/>
      <c r="CI27" s="320"/>
      <c r="CJ27" s="320"/>
      <c r="CK27" s="320"/>
      <c r="CL27" s="320"/>
      <c r="CM27" s="320"/>
      <c r="CN27" s="320"/>
      <c r="CO27" s="320"/>
      <c r="CP27" s="320"/>
      <c r="CQ27" s="320"/>
      <c r="CR27" s="320"/>
      <c r="CS27" s="320"/>
      <c r="CT27" s="320"/>
      <c r="CU27" s="320"/>
      <c r="CV27" s="320"/>
      <c r="CW27" s="320"/>
      <c r="CX27" s="320"/>
      <c r="CY27" s="320"/>
      <c r="CZ27" s="320"/>
      <c r="DA27" s="320"/>
      <c r="DB27" s="320"/>
      <c r="DC27" s="320"/>
      <c r="DD27" s="320"/>
      <c r="DE27" s="320"/>
      <c r="DF27" s="320"/>
      <c r="DG27" s="320"/>
      <c r="DH27" s="320"/>
      <c r="DI27" s="320"/>
      <c r="DJ27" s="320"/>
      <c r="DK27" s="320"/>
      <c r="DL27" s="320"/>
      <c r="DM27" s="320"/>
      <c r="DN27" s="320"/>
      <c r="DO27" s="320"/>
      <c r="DP27" s="320"/>
      <c r="DQ27" s="320"/>
      <c r="DR27" s="320"/>
      <c r="DS27" s="320"/>
      <c r="DT27" s="320"/>
      <c r="DU27" s="320"/>
      <c r="DV27" s="320"/>
      <c r="DW27" s="320"/>
      <c r="DX27" s="320"/>
      <c r="DY27" s="320"/>
      <c r="DZ27" s="320"/>
      <c r="EA27" s="320"/>
      <c r="EB27" s="320"/>
      <c r="EC27" s="320"/>
      <c r="ED27" s="320"/>
      <c r="EE27" s="320"/>
      <c r="EF27" s="320"/>
      <c r="EG27" s="320"/>
      <c r="EH27" s="320"/>
      <c r="EI27" s="320"/>
      <c r="EJ27" s="320"/>
      <c r="EK27" s="320"/>
      <c r="EL27" s="320"/>
      <c r="EM27" s="320"/>
      <c r="EN27" s="320"/>
      <c r="EO27" s="320"/>
      <c r="EP27" s="320"/>
      <c r="EQ27" s="320"/>
      <c r="ER27" s="320"/>
      <c r="ES27" s="320"/>
      <c r="ET27" s="320"/>
      <c r="EU27" s="320"/>
      <c r="EV27" s="320"/>
      <c r="EW27" s="320"/>
      <c r="EX27" s="320"/>
      <c r="EY27" s="320"/>
      <c r="EZ27" s="320"/>
      <c r="FA27" s="320"/>
      <c r="FB27" s="320"/>
      <c r="FC27" s="320"/>
      <c r="FD27" s="320"/>
      <c r="FE27" s="320"/>
      <c r="FF27" s="320"/>
      <c r="FG27" s="320"/>
      <c r="FH27" s="320"/>
      <c r="FI27" s="320"/>
      <c r="FJ27" s="320"/>
      <c r="FK27" s="320"/>
      <c r="FL27" s="320"/>
      <c r="FM27" s="320"/>
      <c r="FN27" s="320"/>
      <c r="FO27" s="320"/>
      <c r="FP27" s="320"/>
      <c r="FQ27" s="320"/>
      <c r="FR27" s="320"/>
      <c r="FS27" s="320"/>
      <c r="FT27" s="320"/>
      <c r="FU27" s="320"/>
      <c r="FV27" s="320"/>
      <c r="FW27" s="320"/>
      <c r="FX27" s="320"/>
      <c r="FY27" s="320"/>
      <c r="FZ27" s="320"/>
      <c r="GA27" s="320"/>
      <c r="GB27" s="320"/>
      <c r="GC27" s="320"/>
      <c r="GD27" s="320"/>
      <c r="GE27" s="320"/>
      <c r="GF27" s="320"/>
      <c r="GG27" s="320"/>
      <c r="GH27" s="320"/>
      <c r="GI27" s="320"/>
      <c r="GJ27" s="320"/>
      <c r="GK27" s="320"/>
      <c r="GL27" s="320"/>
      <c r="GM27" s="320"/>
      <c r="GN27" s="320"/>
      <c r="GO27" s="320"/>
      <c r="GP27" s="320"/>
      <c r="GQ27" s="320"/>
      <c r="GR27" s="320"/>
      <c r="GS27" s="320"/>
      <c r="GT27" s="320"/>
      <c r="GU27" s="320"/>
      <c r="GV27" s="320"/>
      <c r="GW27" s="320"/>
      <c r="GX27" s="320"/>
      <c r="GY27" s="320"/>
      <c r="GZ27" s="320"/>
      <c r="HA27" s="320"/>
      <c r="HB27" s="320"/>
      <c r="HC27" s="320"/>
      <c r="HD27" s="320"/>
      <c r="HE27" s="320"/>
      <c r="HF27" s="320"/>
      <c r="HG27" s="320"/>
      <c r="HH27" s="320"/>
      <c r="HI27" s="320"/>
      <c r="HJ27" s="320"/>
      <c r="HK27" s="320"/>
      <c r="HL27" s="320"/>
      <c r="HM27" s="320"/>
      <c r="HN27" s="320"/>
      <c r="HO27" s="320"/>
      <c r="HP27" s="320"/>
      <c r="HQ27" s="320"/>
      <c r="HR27" s="320"/>
      <c r="HS27" s="320"/>
      <c r="HT27" s="320"/>
      <c r="HU27" s="320"/>
      <c r="HV27" s="320"/>
      <c r="HW27" s="320"/>
      <c r="HX27" s="320"/>
      <c r="HY27" s="320"/>
      <c r="HZ27" s="320"/>
      <c r="IA27" s="320"/>
      <c r="IB27" s="320"/>
      <c r="IC27" s="320"/>
      <c r="ID27" s="320"/>
      <c r="IE27" s="320"/>
      <c r="IF27" s="320"/>
      <c r="IG27" s="320"/>
      <c r="IH27" s="320"/>
      <c r="II27" s="320"/>
      <c r="IJ27" s="320"/>
      <c r="IK27" s="320"/>
      <c r="IL27" s="320"/>
      <c r="IM27" s="320"/>
      <c r="IN27" s="320"/>
      <c r="IO27" s="320"/>
      <c r="IP27" s="320"/>
      <c r="IQ27" s="320"/>
      <c r="IR27" s="320"/>
      <c r="IS27" s="320"/>
      <c r="IT27" s="320"/>
      <c r="IU27" s="320"/>
      <c r="IV27" s="320"/>
      <c r="IW27" s="320"/>
      <c r="IX27" s="320"/>
      <c r="IY27" s="320"/>
    </row>
    <row r="28" spans="2:259" s="319" customFormat="1" ht="12.75" customHeight="1" x14ac:dyDescent="0.2">
      <c r="B28" s="774"/>
      <c r="C28" s="478"/>
      <c r="D28" s="331"/>
      <c r="E28" s="331"/>
      <c r="F28" s="307"/>
      <c r="G28" s="468">
        <v>0</v>
      </c>
      <c r="H28" s="565">
        <f t="shared" si="0"/>
        <v>0</v>
      </c>
      <c r="I28" s="328">
        <v>0</v>
      </c>
      <c r="J28" s="328">
        <v>0</v>
      </c>
      <c r="K28" s="565">
        <f t="shared" si="2"/>
        <v>0</v>
      </c>
      <c r="L28" s="923"/>
      <c r="M28" s="323"/>
      <c r="N28" s="327"/>
      <c r="O28" s="327"/>
      <c r="P28" s="322"/>
      <c r="Q28" s="322"/>
      <c r="R28" s="322"/>
      <c r="S28" s="325"/>
      <c r="T28" s="324"/>
      <c r="U28" s="324"/>
      <c r="V28" s="324"/>
      <c r="W28" s="324"/>
      <c r="X28" s="326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320"/>
      <c r="BC28" s="320"/>
      <c r="BD28" s="320"/>
      <c r="BE28" s="320"/>
      <c r="BF28" s="320"/>
      <c r="BG28" s="320"/>
      <c r="BH28" s="320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0"/>
      <c r="CB28" s="320"/>
      <c r="CC28" s="320"/>
      <c r="CD28" s="320"/>
      <c r="CE28" s="320"/>
      <c r="CF28" s="320"/>
      <c r="CG28" s="320"/>
      <c r="CH28" s="320"/>
      <c r="CI28" s="320"/>
      <c r="CJ28" s="320"/>
      <c r="CK28" s="320"/>
      <c r="CL28" s="320"/>
      <c r="CM28" s="320"/>
      <c r="CN28" s="320"/>
      <c r="CO28" s="320"/>
      <c r="CP28" s="320"/>
      <c r="CQ28" s="320"/>
      <c r="CR28" s="320"/>
      <c r="CS28" s="320"/>
      <c r="CT28" s="320"/>
      <c r="CU28" s="320"/>
      <c r="CV28" s="320"/>
      <c r="CW28" s="320"/>
      <c r="CX28" s="320"/>
      <c r="CY28" s="320"/>
      <c r="CZ28" s="320"/>
      <c r="DA28" s="320"/>
      <c r="DB28" s="320"/>
      <c r="DC28" s="320"/>
      <c r="DD28" s="320"/>
      <c r="DE28" s="320"/>
      <c r="DF28" s="320"/>
      <c r="DG28" s="320"/>
      <c r="DH28" s="320"/>
      <c r="DI28" s="320"/>
      <c r="DJ28" s="320"/>
      <c r="DK28" s="320"/>
      <c r="DL28" s="320"/>
      <c r="DM28" s="320"/>
      <c r="DN28" s="320"/>
      <c r="DO28" s="320"/>
      <c r="DP28" s="320"/>
      <c r="DQ28" s="320"/>
      <c r="DR28" s="320"/>
      <c r="DS28" s="320"/>
      <c r="DT28" s="320"/>
      <c r="DU28" s="320"/>
      <c r="DV28" s="320"/>
      <c r="DW28" s="320"/>
      <c r="DX28" s="320"/>
      <c r="DY28" s="320"/>
      <c r="DZ28" s="320"/>
      <c r="EA28" s="320"/>
      <c r="EB28" s="320"/>
      <c r="EC28" s="320"/>
      <c r="ED28" s="320"/>
      <c r="EE28" s="320"/>
      <c r="EF28" s="320"/>
      <c r="EG28" s="320"/>
      <c r="EH28" s="320"/>
      <c r="EI28" s="320"/>
      <c r="EJ28" s="320"/>
      <c r="EK28" s="320"/>
      <c r="EL28" s="320"/>
      <c r="EM28" s="320"/>
      <c r="EN28" s="320"/>
      <c r="EO28" s="320"/>
      <c r="EP28" s="320"/>
      <c r="EQ28" s="320"/>
      <c r="ER28" s="320"/>
      <c r="ES28" s="320"/>
      <c r="ET28" s="320"/>
      <c r="EU28" s="320"/>
      <c r="EV28" s="320"/>
      <c r="EW28" s="320"/>
      <c r="EX28" s="320"/>
      <c r="EY28" s="320"/>
      <c r="EZ28" s="320"/>
      <c r="FA28" s="320"/>
      <c r="FB28" s="320"/>
      <c r="FC28" s="320"/>
      <c r="FD28" s="320"/>
      <c r="FE28" s="320"/>
      <c r="FF28" s="320"/>
      <c r="FG28" s="320"/>
      <c r="FH28" s="320"/>
      <c r="FI28" s="320"/>
      <c r="FJ28" s="320"/>
      <c r="FK28" s="320"/>
      <c r="FL28" s="320"/>
      <c r="FM28" s="320"/>
      <c r="FN28" s="320"/>
      <c r="FO28" s="320"/>
      <c r="FP28" s="320"/>
      <c r="FQ28" s="320"/>
      <c r="FR28" s="320"/>
      <c r="FS28" s="320"/>
      <c r="FT28" s="320"/>
      <c r="FU28" s="320"/>
      <c r="FV28" s="320"/>
      <c r="FW28" s="320"/>
      <c r="FX28" s="320"/>
      <c r="FY28" s="320"/>
      <c r="FZ28" s="320"/>
      <c r="GA28" s="320"/>
      <c r="GB28" s="320"/>
      <c r="GC28" s="320"/>
      <c r="GD28" s="320"/>
      <c r="GE28" s="320"/>
      <c r="GF28" s="320"/>
      <c r="GG28" s="320"/>
      <c r="GH28" s="320"/>
      <c r="GI28" s="320"/>
      <c r="GJ28" s="320"/>
      <c r="GK28" s="320"/>
      <c r="GL28" s="320"/>
      <c r="GM28" s="320"/>
      <c r="GN28" s="320"/>
      <c r="GO28" s="320"/>
      <c r="GP28" s="320"/>
      <c r="GQ28" s="320"/>
      <c r="GR28" s="320"/>
      <c r="GS28" s="320"/>
      <c r="GT28" s="320"/>
      <c r="GU28" s="320"/>
      <c r="GV28" s="320"/>
      <c r="GW28" s="320"/>
      <c r="GX28" s="320"/>
      <c r="GY28" s="320"/>
      <c r="GZ28" s="320"/>
      <c r="HA28" s="320"/>
      <c r="HB28" s="320"/>
      <c r="HC28" s="320"/>
      <c r="HD28" s="320"/>
      <c r="HE28" s="320"/>
      <c r="HF28" s="320"/>
      <c r="HG28" s="320"/>
      <c r="HH28" s="320"/>
      <c r="HI28" s="320"/>
      <c r="HJ28" s="320"/>
      <c r="HK28" s="320"/>
      <c r="HL28" s="320"/>
      <c r="HM28" s="320"/>
      <c r="HN28" s="320"/>
      <c r="HO28" s="320"/>
      <c r="HP28" s="320"/>
      <c r="HQ28" s="320"/>
      <c r="HR28" s="320"/>
      <c r="HS28" s="320"/>
      <c r="HT28" s="320"/>
      <c r="HU28" s="320"/>
      <c r="HV28" s="320"/>
      <c r="HW28" s="320"/>
      <c r="HX28" s="320"/>
      <c r="HY28" s="320"/>
      <c r="HZ28" s="320"/>
      <c r="IA28" s="320"/>
      <c r="IB28" s="320"/>
      <c r="IC28" s="320"/>
      <c r="ID28" s="320"/>
      <c r="IE28" s="320"/>
      <c r="IF28" s="320"/>
      <c r="IG28" s="320"/>
      <c r="IH28" s="320"/>
      <c r="II28" s="320"/>
      <c r="IJ28" s="320"/>
      <c r="IK28" s="320"/>
      <c r="IL28" s="320"/>
      <c r="IM28" s="320"/>
      <c r="IN28" s="320"/>
      <c r="IO28" s="320"/>
      <c r="IP28" s="320"/>
      <c r="IQ28" s="320"/>
      <c r="IR28" s="320"/>
      <c r="IS28" s="320"/>
      <c r="IT28" s="320"/>
      <c r="IU28" s="320"/>
      <c r="IV28" s="320"/>
      <c r="IW28" s="320"/>
      <c r="IX28" s="320"/>
      <c r="IY28" s="320"/>
    </row>
    <row r="29" spans="2:259" s="319" customFormat="1" ht="12.75" customHeight="1" x14ac:dyDescent="0.2">
      <c r="B29" s="774"/>
      <c r="C29" s="478"/>
      <c r="D29" s="331"/>
      <c r="E29" s="331"/>
      <c r="F29" s="307"/>
      <c r="G29" s="468">
        <v>0</v>
      </c>
      <c r="H29" s="565">
        <f t="shared" si="0"/>
        <v>0</v>
      </c>
      <c r="I29" s="328">
        <v>0</v>
      </c>
      <c r="J29" s="328">
        <v>0</v>
      </c>
      <c r="K29" s="565">
        <f t="shared" si="2"/>
        <v>0</v>
      </c>
      <c r="L29" s="923"/>
      <c r="M29" s="323"/>
      <c r="N29" s="327"/>
      <c r="O29" s="327"/>
      <c r="P29" s="322"/>
      <c r="Q29" s="322"/>
      <c r="R29" s="322"/>
      <c r="S29" s="325"/>
      <c r="T29" s="324"/>
      <c r="U29" s="324"/>
      <c r="V29" s="324"/>
      <c r="W29" s="324"/>
      <c r="X29" s="326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  <c r="CF29" s="320"/>
      <c r="CG29" s="320"/>
      <c r="CH29" s="320"/>
      <c r="CI29" s="320"/>
      <c r="CJ29" s="320"/>
      <c r="CK29" s="320"/>
      <c r="CL29" s="320"/>
      <c r="CM29" s="320"/>
      <c r="CN29" s="320"/>
      <c r="CO29" s="320"/>
      <c r="CP29" s="320"/>
      <c r="CQ29" s="320"/>
      <c r="CR29" s="320"/>
      <c r="CS29" s="320"/>
      <c r="CT29" s="320"/>
      <c r="CU29" s="320"/>
      <c r="CV29" s="320"/>
      <c r="CW29" s="320"/>
      <c r="CX29" s="320"/>
      <c r="CY29" s="320"/>
      <c r="CZ29" s="320"/>
      <c r="DA29" s="320"/>
      <c r="DB29" s="320"/>
      <c r="DC29" s="320"/>
      <c r="DD29" s="320"/>
      <c r="DE29" s="320"/>
      <c r="DF29" s="320"/>
      <c r="DG29" s="320"/>
      <c r="DH29" s="320"/>
      <c r="DI29" s="320"/>
      <c r="DJ29" s="320"/>
      <c r="DK29" s="320"/>
      <c r="DL29" s="320"/>
      <c r="DM29" s="320"/>
      <c r="DN29" s="320"/>
      <c r="DO29" s="320"/>
      <c r="DP29" s="320"/>
      <c r="DQ29" s="320"/>
      <c r="DR29" s="320"/>
      <c r="DS29" s="320"/>
      <c r="DT29" s="320"/>
      <c r="DU29" s="320"/>
      <c r="DV29" s="320"/>
      <c r="DW29" s="320"/>
      <c r="DX29" s="320"/>
      <c r="DY29" s="320"/>
      <c r="DZ29" s="320"/>
      <c r="EA29" s="320"/>
      <c r="EB29" s="320"/>
      <c r="EC29" s="320"/>
      <c r="ED29" s="320"/>
      <c r="EE29" s="320"/>
      <c r="EF29" s="320"/>
      <c r="EG29" s="320"/>
      <c r="EH29" s="320"/>
      <c r="EI29" s="320"/>
      <c r="EJ29" s="320"/>
      <c r="EK29" s="320"/>
      <c r="EL29" s="320"/>
      <c r="EM29" s="320"/>
      <c r="EN29" s="320"/>
      <c r="EO29" s="320"/>
      <c r="EP29" s="320"/>
      <c r="EQ29" s="320"/>
      <c r="ER29" s="320"/>
      <c r="ES29" s="320"/>
      <c r="ET29" s="320"/>
      <c r="EU29" s="320"/>
      <c r="EV29" s="320"/>
      <c r="EW29" s="320"/>
      <c r="EX29" s="320"/>
      <c r="EY29" s="320"/>
      <c r="EZ29" s="320"/>
      <c r="FA29" s="320"/>
      <c r="FB29" s="320"/>
      <c r="FC29" s="320"/>
      <c r="FD29" s="320"/>
      <c r="FE29" s="320"/>
      <c r="FF29" s="320"/>
      <c r="FG29" s="320"/>
      <c r="FH29" s="320"/>
      <c r="FI29" s="320"/>
      <c r="FJ29" s="320"/>
      <c r="FK29" s="320"/>
      <c r="FL29" s="320"/>
      <c r="FM29" s="320"/>
      <c r="FN29" s="320"/>
      <c r="FO29" s="320"/>
      <c r="FP29" s="320"/>
      <c r="FQ29" s="320"/>
      <c r="FR29" s="320"/>
      <c r="FS29" s="320"/>
      <c r="FT29" s="320"/>
      <c r="FU29" s="320"/>
      <c r="FV29" s="320"/>
      <c r="FW29" s="320"/>
      <c r="FX29" s="320"/>
      <c r="FY29" s="320"/>
      <c r="FZ29" s="320"/>
      <c r="GA29" s="320"/>
      <c r="GB29" s="320"/>
      <c r="GC29" s="320"/>
      <c r="GD29" s="320"/>
      <c r="GE29" s="320"/>
      <c r="GF29" s="320"/>
      <c r="GG29" s="320"/>
      <c r="GH29" s="320"/>
      <c r="GI29" s="320"/>
      <c r="GJ29" s="320"/>
      <c r="GK29" s="320"/>
      <c r="GL29" s="320"/>
      <c r="GM29" s="320"/>
      <c r="GN29" s="320"/>
      <c r="GO29" s="320"/>
      <c r="GP29" s="320"/>
      <c r="GQ29" s="320"/>
      <c r="GR29" s="320"/>
      <c r="GS29" s="320"/>
      <c r="GT29" s="320"/>
      <c r="GU29" s="320"/>
      <c r="GV29" s="320"/>
      <c r="GW29" s="320"/>
      <c r="GX29" s="320"/>
      <c r="GY29" s="320"/>
      <c r="GZ29" s="320"/>
      <c r="HA29" s="320"/>
      <c r="HB29" s="320"/>
      <c r="HC29" s="320"/>
      <c r="HD29" s="320"/>
      <c r="HE29" s="320"/>
      <c r="HF29" s="320"/>
      <c r="HG29" s="320"/>
      <c r="HH29" s="320"/>
      <c r="HI29" s="320"/>
      <c r="HJ29" s="320"/>
      <c r="HK29" s="320"/>
      <c r="HL29" s="320"/>
      <c r="HM29" s="320"/>
      <c r="HN29" s="320"/>
      <c r="HO29" s="320"/>
      <c r="HP29" s="320"/>
      <c r="HQ29" s="320"/>
      <c r="HR29" s="320"/>
      <c r="HS29" s="320"/>
      <c r="HT29" s="320"/>
      <c r="HU29" s="320"/>
      <c r="HV29" s="320"/>
      <c r="HW29" s="320"/>
      <c r="HX29" s="320"/>
      <c r="HY29" s="320"/>
      <c r="HZ29" s="320"/>
      <c r="IA29" s="320"/>
      <c r="IB29" s="320"/>
      <c r="IC29" s="320"/>
      <c r="ID29" s="320"/>
      <c r="IE29" s="320"/>
      <c r="IF29" s="320"/>
      <c r="IG29" s="320"/>
      <c r="IH29" s="320"/>
      <c r="II29" s="320"/>
      <c r="IJ29" s="320"/>
      <c r="IK29" s="320"/>
      <c r="IL29" s="320"/>
      <c r="IM29" s="320"/>
      <c r="IN29" s="320"/>
      <c r="IO29" s="320"/>
      <c r="IP29" s="320"/>
      <c r="IQ29" s="320"/>
      <c r="IR29" s="320"/>
      <c r="IS29" s="320"/>
      <c r="IT29" s="320"/>
      <c r="IU29" s="320"/>
      <c r="IV29" s="320"/>
      <c r="IW29" s="320"/>
      <c r="IX29" s="320"/>
      <c r="IY29" s="320"/>
    </row>
    <row r="30" spans="2:259" s="319" customFormat="1" ht="13.5" customHeight="1" thickBot="1" x14ac:dyDescent="0.25">
      <c r="B30" s="775"/>
      <c r="C30" s="483"/>
      <c r="D30" s="329"/>
      <c r="E30" s="329"/>
      <c r="F30" s="308"/>
      <c r="G30" s="470">
        <v>0</v>
      </c>
      <c r="H30" s="568">
        <f t="shared" si="0"/>
        <v>0</v>
      </c>
      <c r="I30" s="330">
        <v>0</v>
      </c>
      <c r="J30" s="330" t="s">
        <v>329</v>
      </c>
      <c r="K30" s="568">
        <f t="shared" si="2"/>
        <v>0</v>
      </c>
      <c r="L30" s="939"/>
      <c r="M30" s="323"/>
      <c r="N30" s="327"/>
      <c r="O30" s="327"/>
      <c r="P30" s="322"/>
      <c r="Q30" s="322"/>
      <c r="R30" s="322"/>
      <c r="S30" s="325"/>
      <c r="T30" s="324"/>
      <c r="U30" s="324"/>
      <c r="V30" s="324"/>
      <c r="W30" s="324"/>
      <c r="X30" s="326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  <c r="CF30" s="320"/>
      <c r="CG30" s="320"/>
      <c r="CH30" s="320"/>
      <c r="CI30" s="320"/>
      <c r="CJ30" s="320"/>
      <c r="CK30" s="320"/>
      <c r="CL30" s="320"/>
      <c r="CM30" s="320"/>
      <c r="CN30" s="320"/>
      <c r="CO30" s="320"/>
      <c r="CP30" s="320"/>
      <c r="CQ30" s="320"/>
      <c r="CR30" s="320"/>
      <c r="CS30" s="320"/>
      <c r="CT30" s="320"/>
      <c r="CU30" s="320"/>
      <c r="CV30" s="320"/>
      <c r="CW30" s="320"/>
      <c r="CX30" s="320"/>
      <c r="CY30" s="320"/>
      <c r="CZ30" s="320"/>
      <c r="DA30" s="320"/>
      <c r="DB30" s="320"/>
      <c r="DC30" s="320"/>
      <c r="DD30" s="320"/>
      <c r="DE30" s="320"/>
      <c r="DF30" s="320"/>
      <c r="DG30" s="320"/>
      <c r="DH30" s="320"/>
      <c r="DI30" s="320"/>
      <c r="DJ30" s="320"/>
      <c r="DK30" s="320"/>
      <c r="DL30" s="320"/>
      <c r="DM30" s="320"/>
      <c r="DN30" s="320"/>
      <c r="DO30" s="320"/>
      <c r="DP30" s="320"/>
      <c r="DQ30" s="320"/>
      <c r="DR30" s="320"/>
      <c r="DS30" s="320"/>
      <c r="DT30" s="320"/>
      <c r="DU30" s="320"/>
      <c r="DV30" s="320"/>
      <c r="DW30" s="320"/>
      <c r="DX30" s="320"/>
      <c r="DY30" s="320"/>
      <c r="DZ30" s="320"/>
      <c r="EA30" s="320"/>
      <c r="EB30" s="320"/>
      <c r="EC30" s="320"/>
      <c r="ED30" s="320"/>
      <c r="EE30" s="320"/>
      <c r="EF30" s="320"/>
      <c r="EG30" s="320"/>
      <c r="EH30" s="320"/>
      <c r="EI30" s="320"/>
      <c r="EJ30" s="320"/>
      <c r="EK30" s="320"/>
      <c r="EL30" s="320"/>
      <c r="EM30" s="320"/>
      <c r="EN30" s="320"/>
      <c r="EO30" s="320"/>
      <c r="EP30" s="320"/>
      <c r="EQ30" s="320"/>
      <c r="ER30" s="320"/>
      <c r="ES30" s="320"/>
      <c r="ET30" s="320"/>
      <c r="EU30" s="320"/>
      <c r="EV30" s="320"/>
      <c r="EW30" s="320"/>
      <c r="EX30" s="320"/>
      <c r="EY30" s="320"/>
      <c r="EZ30" s="320"/>
      <c r="FA30" s="320"/>
      <c r="FB30" s="320"/>
      <c r="FC30" s="320"/>
      <c r="FD30" s="320"/>
      <c r="FE30" s="320"/>
      <c r="FF30" s="320"/>
      <c r="FG30" s="320"/>
      <c r="FH30" s="320"/>
      <c r="FI30" s="320"/>
      <c r="FJ30" s="320"/>
      <c r="FK30" s="320"/>
      <c r="FL30" s="320"/>
      <c r="FM30" s="320"/>
      <c r="FN30" s="320"/>
      <c r="FO30" s="320"/>
      <c r="FP30" s="320"/>
      <c r="FQ30" s="320"/>
      <c r="FR30" s="320"/>
      <c r="FS30" s="320"/>
      <c r="FT30" s="320"/>
      <c r="FU30" s="320"/>
      <c r="FV30" s="320"/>
      <c r="FW30" s="320"/>
      <c r="FX30" s="320"/>
      <c r="FY30" s="320"/>
      <c r="FZ30" s="320"/>
      <c r="GA30" s="320"/>
      <c r="GB30" s="320"/>
      <c r="GC30" s="320"/>
      <c r="GD30" s="320"/>
      <c r="GE30" s="320"/>
      <c r="GF30" s="320"/>
      <c r="GG30" s="320"/>
      <c r="GH30" s="320"/>
      <c r="GI30" s="320"/>
      <c r="GJ30" s="320"/>
      <c r="GK30" s="320"/>
      <c r="GL30" s="320"/>
      <c r="GM30" s="320"/>
      <c r="GN30" s="320"/>
      <c r="GO30" s="320"/>
      <c r="GP30" s="320"/>
      <c r="GQ30" s="320"/>
      <c r="GR30" s="320"/>
      <c r="GS30" s="320"/>
      <c r="GT30" s="320"/>
      <c r="GU30" s="320"/>
      <c r="GV30" s="320"/>
      <c r="GW30" s="320"/>
      <c r="GX30" s="320"/>
      <c r="GY30" s="320"/>
      <c r="GZ30" s="320"/>
      <c r="HA30" s="320"/>
      <c r="HB30" s="320"/>
      <c r="HC30" s="320"/>
      <c r="HD30" s="320"/>
      <c r="HE30" s="320"/>
      <c r="HF30" s="320"/>
      <c r="HG30" s="320"/>
      <c r="HH30" s="320"/>
      <c r="HI30" s="320"/>
      <c r="HJ30" s="320"/>
      <c r="HK30" s="320"/>
      <c r="HL30" s="320"/>
      <c r="HM30" s="320"/>
      <c r="HN30" s="320"/>
      <c r="HO30" s="320"/>
      <c r="HP30" s="320"/>
      <c r="HQ30" s="320"/>
      <c r="HR30" s="320"/>
      <c r="HS30" s="320"/>
      <c r="HT30" s="320"/>
      <c r="HU30" s="320"/>
      <c r="HV30" s="320"/>
      <c r="HW30" s="320"/>
      <c r="HX30" s="320"/>
      <c r="HY30" s="320"/>
      <c r="HZ30" s="320"/>
      <c r="IA30" s="320"/>
      <c r="IB30" s="320"/>
      <c r="IC30" s="320"/>
      <c r="ID30" s="320"/>
      <c r="IE30" s="320"/>
      <c r="IF30" s="320"/>
      <c r="IG30" s="320"/>
      <c r="IH30" s="320"/>
      <c r="II30" s="320"/>
      <c r="IJ30" s="320"/>
      <c r="IK30" s="320"/>
      <c r="IL30" s="320"/>
      <c r="IM30" s="320"/>
      <c r="IN30" s="320"/>
      <c r="IO30" s="320"/>
      <c r="IP30" s="320"/>
      <c r="IQ30" s="320"/>
      <c r="IR30" s="320"/>
      <c r="IS30" s="320"/>
      <c r="IT30" s="320"/>
      <c r="IU30" s="320"/>
      <c r="IV30" s="320"/>
      <c r="IW30" s="320"/>
      <c r="IX30" s="320"/>
      <c r="IY30" s="320"/>
    </row>
    <row r="31" spans="2:259" s="319" customFormat="1" ht="12.75" customHeight="1" x14ac:dyDescent="0.2">
      <c r="B31" s="931" t="s">
        <v>225</v>
      </c>
      <c r="C31" s="552"/>
      <c r="D31" s="553"/>
      <c r="E31" s="553"/>
      <c r="F31" s="554"/>
      <c r="G31" s="549"/>
      <c r="H31" s="549"/>
      <c r="I31" s="555"/>
      <c r="J31" s="555"/>
      <c r="K31" s="549"/>
      <c r="L31" s="934"/>
      <c r="M31" s="323"/>
      <c r="N31" s="327"/>
      <c r="O31" s="327"/>
      <c r="P31" s="322"/>
      <c r="Q31" s="322"/>
      <c r="R31" s="322"/>
      <c r="S31" s="325"/>
      <c r="T31" s="324"/>
      <c r="U31" s="324"/>
      <c r="V31" s="324"/>
      <c r="W31" s="324"/>
      <c r="X31" s="326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  <c r="CF31" s="320"/>
      <c r="CG31" s="320"/>
      <c r="CH31" s="320"/>
      <c r="CI31" s="320"/>
      <c r="CJ31" s="320"/>
      <c r="CK31" s="320"/>
      <c r="CL31" s="320"/>
      <c r="CM31" s="320"/>
      <c r="CN31" s="320"/>
      <c r="CO31" s="320"/>
      <c r="CP31" s="320"/>
      <c r="CQ31" s="320"/>
      <c r="CR31" s="320"/>
      <c r="CS31" s="320"/>
      <c r="CT31" s="320"/>
      <c r="CU31" s="320"/>
      <c r="CV31" s="320"/>
      <c r="CW31" s="320"/>
      <c r="CX31" s="320"/>
      <c r="CY31" s="320"/>
      <c r="CZ31" s="320"/>
      <c r="DA31" s="320"/>
      <c r="DB31" s="320"/>
      <c r="DC31" s="320"/>
      <c r="DD31" s="320"/>
      <c r="DE31" s="320"/>
      <c r="DF31" s="320"/>
      <c r="DG31" s="320"/>
      <c r="DH31" s="320"/>
      <c r="DI31" s="320"/>
      <c r="DJ31" s="320"/>
      <c r="DK31" s="320"/>
      <c r="DL31" s="320"/>
      <c r="DM31" s="320"/>
      <c r="DN31" s="320"/>
      <c r="DO31" s="320"/>
      <c r="DP31" s="320"/>
      <c r="DQ31" s="320"/>
      <c r="DR31" s="320"/>
      <c r="DS31" s="320"/>
      <c r="DT31" s="320"/>
      <c r="DU31" s="320"/>
      <c r="DV31" s="320"/>
      <c r="DW31" s="320"/>
      <c r="DX31" s="320"/>
      <c r="DY31" s="320"/>
      <c r="DZ31" s="320"/>
      <c r="EA31" s="320"/>
      <c r="EB31" s="320"/>
      <c r="EC31" s="320"/>
      <c r="ED31" s="320"/>
      <c r="EE31" s="320"/>
      <c r="EF31" s="320"/>
      <c r="EG31" s="320"/>
      <c r="EH31" s="320"/>
      <c r="EI31" s="320"/>
      <c r="EJ31" s="320"/>
      <c r="EK31" s="320"/>
      <c r="EL31" s="320"/>
      <c r="EM31" s="320"/>
      <c r="EN31" s="320"/>
      <c r="EO31" s="320"/>
      <c r="EP31" s="320"/>
      <c r="EQ31" s="320"/>
      <c r="ER31" s="320"/>
      <c r="ES31" s="320"/>
      <c r="ET31" s="320"/>
      <c r="EU31" s="320"/>
      <c r="EV31" s="320"/>
      <c r="EW31" s="320"/>
      <c r="EX31" s="320"/>
      <c r="EY31" s="320"/>
      <c r="EZ31" s="320"/>
      <c r="FA31" s="320"/>
      <c r="FB31" s="320"/>
      <c r="FC31" s="320"/>
      <c r="FD31" s="320"/>
      <c r="FE31" s="320"/>
      <c r="FF31" s="320"/>
      <c r="FG31" s="320"/>
      <c r="FH31" s="320"/>
      <c r="FI31" s="320"/>
      <c r="FJ31" s="320"/>
      <c r="FK31" s="320"/>
      <c r="FL31" s="320"/>
      <c r="FM31" s="320"/>
      <c r="FN31" s="320"/>
      <c r="FO31" s="320"/>
      <c r="FP31" s="320"/>
      <c r="FQ31" s="320"/>
      <c r="FR31" s="320"/>
      <c r="FS31" s="320"/>
      <c r="FT31" s="320"/>
      <c r="FU31" s="320"/>
      <c r="FV31" s="320"/>
      <c r="FW31" s="320"/>
      <c r="FX31" s="320"/>
      <c r="FY31" s="320"/>
      <c r="FZ31" s="320"/>
      <c r="GA31" s="320"/>
      <c r="GB31" s="320"/>
      <c r="GC31" s="320"/>
      <c r="GD31" s="320"/>
      <c r="GE31" s="320"/>
      <c r="GF31" s="320"/>
      <c r="GG31" s="320"/>
      <c r="GH31" s="320"/>
      <c r="GI31" s="320"/>
      <c r="GJ31" s="320"/>
      <c r="GK31" s="320"/>
      <c r="GL31" s="320"/>
      <c r="GM31" s="320"/>
      <c r="GN31" s="320"/>
      <c r="GO31" s="320"/>
      <c r="GP31" s="320"/>
      <c r="GQ31" s="320"/>
      <c r="GR31" s="320"/>
      <c r="GS31" s="320"/>
      <c r="GT31" s="320"/>
      <c r="GU31" s="320"/>
      <c r="GV31" s="320"/>
      <c r="GW31" s="320"/>
      <c r="GX31" s="320"/>
      <c r="GY31" s="320"/>
      <c r="GZ31" s="320"/>
      <c r="HA31" s="320"/>
      <c r="HB31" s="320"/>
      <c r="HC31" s="320"/>
      <c r="HD31" s="320"/>
      <c r="HE31" s="320"/>
      <c r="HF31" s="320"/>
      <c r="HG31" s="320"/>
      <c r="HH31" s="320"/>
      <c r="HI31" s="320"/>
      <c r="HJ31" s="320"/>
      <c r="HK31" s="320"/>
      <c r="HL31" s="320"/>
      <c r="HM31" s="320"/>
      <c r="HN31" s="320"/>
      <c r="HO31" s="320"/>
      <c r="HP31" s="320"/>
      <c r="HQ31" s="320"/>
      <c r="HR31" s="320"/>
      <c r="HS31" s="320"/>
      <c r="HT31" s="320"/>
      <c r="HU31" s="320"/>
      <c r="HV31" s="320"/>
      <c r="HW31" s="320"/>
      <c r="HX31" s="320"/>
      <c r="HY31" s="320"/>
      <c r="HZ31" s="320"/>
      <c r="IA31" s="320"/>
      <c r="IB31" s="320"/>
      <c r="IC31" s="320"/>
      <c r="ID31" s="320"/>
      <c r="IE31" s="320"/>
      <c r="IF31" s="320"/>
      <c r="IG31" s="320"/>
      <c r="IH31" s="320"/>
      <c r="II31" s="320"/>
      <c r="IJ31" s="320"/>
      <c r="IK31" s="320"/>
      <c r="IL31" s="320"/>
      <c r="IM31" s="320"/>
      <c r="IN31" s="320"/>
      <c r="IO31" s="320"/>
      <c r="IP31" s="320"/>
      <c r="IQ31" s="320"/>
      <c r="IR31" s="320"/>
      <c r="IS31" s="320"/>
      <c r="IT31" s="320"/>
      <c r="IU31" s="320"/>
      <c r="IV31" s="320"/>
      <c r="IW31" s="320"/>
      <c r="IX31" s="320"/>
      <c r="IY31" s="320"/>
    </row>
    <row r="32" spans="2:259" s="319" customFormat="1" ht="12.75" customHeight="1" x14ac:dyDescent="0.2">
      <c r="B32" s="932"/>
      <c r="C32" s="556"/>
      <c r="D32" s="557"/>
      <c r="E32" s="557"/>
      <c r="F32" s="558"/>
      <c r="G32" s="550"/>
      <c r="H32" s="550"/>
      <c r="I32" s="559"/>
      <c r="J32" s="559"/>
      <c r="K32" s="550"/>
      <c r="L32" s="935"/>
      <c r="M32" s="323"/>
      <c r="N32" s="327"/>
      <c r="O32" s="327"/>
      <c r="P32" s="322"/>
      <c r="Q32" s="322"/>
      <c r="R32" s="322"/>
      <c r="S32" s="325"/>
      <c r="T32" s="324"/>
      <c r="U32" s="324"/>
      <c r="V32" s="324"/>
      <c r="W32" s="324"/>
      <c r="X32" s="326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  <c r="CA32" s="320"/>
      <c r="CB32" s="320"/>
      <c r="CC32" s="320"/>
      <c r="CD32" s="320"/>
      <c r="CE32" s="320"/>
      <c r="CF32" s="320"/>
      <c r="CG32" s="320"/>
      <c r="CH32" s="320"/>
      <c r="CI32" s="320"/>
      <c r="CJ32" s="320"/>
      <c r="CK32" s="320"/>
      <c r="CL32" s="320"/>
      <c r="CM32" s="320"/>
      <c r="CN32" s="320"/>
      <c r="CO32" s="320"/>
      <c r="CP32" s="320"/>
      <c r="CQ32" s="320"/>
      <c r="CR32" s="320"/>
      <c r="CS32" s="320"/>
      <c r="CT32" s="320"/>
      <c r="CU32" s="320"/>
      <c r="CV32" s="320"/>
      <c r="CW32" s="320"/>
      <c r="CX32" s="320"/>
      <c r="CY32" s="320"/>
      <c r="CZ32" s="320"/>
      <c r="DA32" s="320"/>
      <c r="DB32" s="320"/>
      <c r="DC32" s="320"/>
      <c r="DD32" s="320"/>
      <c r="DE32" s="320"/>
      <c r="DF32" s="320"/>
      <c r="DG32" s="320"/>
      <c r="DH32" s="320"/>
      <c r="DI32" s="320"/>
      <c r="DJ32" s="320"/>
      <c r="DK32" s="320"/>
      <c r="DL32" s="320"/>
      <c r="DM32" s="320"/>
      <c r="DN32" s="320"/>
      <c r="DO32" s="320"/>
      <c r="DP32" s="320"/>
      <c r="DQ32" s="320"/>
      <c r="DR32" s="320"/>
      <c r="DS32" s="320"/>
      <c r="DT32" s="320"/>
      <c r="DU32" s="320"/>
      <c r="DV32" s="320"/>
      <c r="DW32" s="320"/>
      <c r="DX32" s="320"/>
      <c r="DY32" s="320"/>
      <c r="DZ32" s="320"/>
      <c r="EA32" s="320"/>
      <c r="EB32" s="320"/>
      <c r="EC32" s="320"/>
      <c r="ED32" s="320"/>
      <c r="EE32" s="320"/>
      <c r="EF32" s="320"/>
      <c r="EG32" s="320"/>
      <c r="EH32" s="320"/>
      <c r="EI32" s="320"/>
      <c r="EJ32" s="320"/>
      <c r="EK32" s="320"/>
      <c r="EL32" s="320"/>
      <c r="EM32" s="320"/>
      <c r="EN32" s="320"/>
      <c r="EO32" s="320"/>
      <c r="EP32" s="320"/>
      <c r="EQ32" s="320"/>
      <c r="ER32" s="320"/>
      <c r="ES32" s="320"/>
      <c r="ET32" s="320"/>
      <c r="EU32" s="320"/>
      <c r="EV32" s="320"/>
      <c r="EW32" s="320"/>
      <c r="EX32" s="320"/>
      <c r="EY32" s="320"/>
      <c r="EZ32" s="320"/>
      <c r="FA32" s="320"/>
      <c r="FB32" s="320"/>
      <c r="FC32" s="320"/>
      <c r="FD32" s="320"/>
      <c r="FE32" s="320"/>
      <c r="FF32" s="320"/>
      <c r="FG32" s="320"/>
      <c r="FH32" s="320"/>
      <c r="FI32" s="320"/>
      <c r="FJ32" s="320"/>
      <c r="FK32" s="320"/>
      <c r="FL32" s="320"/>
      <c r="FM32" s="320"/>
      <c r="FN32" s="320"/>
      <c r="FO32" s="320"/>
      <c r="FP32" s="320"/>
      <c r="FQ32" s="320"/>
      <c r="FR32" s="320"/>
      <c r="FS32" s="320"/>
      <c r="FT32" s="320"/>
      <c r="FU32" s="320"/>
      <c r="FV32" s="320"/>
      <c r="FW32" s="320"/>
      <c r="FX32" s="320"/>
      <c r="FY32" s="320"/>
      <c r="FZ32" s="320"/>
      <c r="GA32" s="320"/>
      <c r="GB32" s="320"/>
      <c r="GC32" s="320"/>
      <c r="GD32" s="320"/>
      <c r="GE32" s="320"/>
      <c r="GF32" s="320"/>
      <c r="GG32" s="320"/>
      <c r="GH32" s="320"/>
      <c r="GI32" s="320"/>
      <c r="GJ32" s="320"/>
      <c r="GK32" s="320"/>
      <c r="GL32" s="320"/>
      <c r="GM32" s="320"/>
      <c r="GN32" s="320"/>
      <c r="GO32" s="320"/>
      <c r="GP32" s="320"/>
      <c r="GQ32" s="320"/>
      <c r="GR32" s="320"/>
      <c r="GS32" s="320"/>
      <c r="GT32" s="320"/>
      <c r="GU32" s="320"/>
      <c r="GV32" s="320"/>
      <c r="GW32" s="320"/>
      <c r="GX32" s="320"/>
      <c r="GY32" s="320"/>
      <c r="GZ32" s="320"/>
      <c r="HA32" s="320"/>
      <c r="HB32" s="320"/>
      <c r="HC32" s="320"/>
      <c r="HD32" s="320"/>
      <c r="HE32" s="320"/>
      <c r="HF32" s="320"/>
      <c r="HG32" s="320"/>
      <c r="HH32" s="320"/>
      <c r="HI32" s="320"/>
      <c r="HJ32" s="320"/>
      <c r="HK32" s="320"/>
      <c r="HL32" s="320"/>
      <c r="HM32" s="320"/>
      <c r="HN32" s="320"/>
      <c r="HO32" s="320"/>
      <c r="HP32" s="320"/>
      <c r="HQ32" s="320"/>
      <c r="HR32" s="320"/>
      <c r="HS32" s="320"/>
      <c r="HT32" s="320"/>
      <c r="HU32" s="320"/>
      <c r="HV32" s="320"/>
      <c r="HW32" s="320"/>
      <c r="HX32" s="320"/>
      <c r="HY32" s="320"/>
      <c r="HZ32" s="320"/>
      <c r="IA32" s="320"/>
      <c r="IB32" s="320"/>
      <c r="IC32" s="320"/>
      <c r="ID32" s="320"/>
      <c r="IE32" s="320"/>
      <c r="IF32" s="320"/>
      <c r="IG32" s="320"/>
      <c r="IH32" s="320"/>
      <c r="II32" s="320"/>
      <c r="IJ32" s="320"/>
      <c r="IK32" s="320"/>
      <c r="IL32" s="320"/>
      <c r="IM32" s="320"/>
      <c r="IN32" s="320"/>
      <c r="IO32" s="320"/>
      <c r="IP32" s="320"/>
      <c r="IQ32" s="320"/>
      <c r="IR32" s="320"/>
      <c r="IS32" s="320"/>
      <c r="IT32" s="320"/>
      <c r="IU32" s="320"/>
      <c r="IV32" s="320"/>
      <c r="IW32" s="320"/>
      <c r="IX32" s="320"/>
      <c r="IY32" s="320"/>
    </row>
    <row r="33" spans="2:259" s="319" customFormat="1" ht="12.75" customHeight="1" x14ac:dyDescent="0.2">
      <c r="B33" s="932"/>
      <c r="C33" s="556"/>
      <c r="D33" s="557"/>
      <c r="E33" s="557"/>
      <c r="F33" s="558"/>
      <c r="G33" s="550"/>
      <c r="H33" s="550"/>
      <c r="I33" s="559"/>
      <c r="J33" s="559"/>
      <c r="K33" s="550"/>
      <c r="L33" s="935"/>
      <c r="M33" s="323"/>
      <c r="N33" s="327"/>
      <c r="O33" s="327"/>
      <c r="P33" s="322"/>
      <c r="Q33" s="322"/>
      <c r="R33" s="322"/>
      <c r="S33" s="325"/>
      <c r="T33" s="324"/>
      <c r="U33" s="324"/>
      <c r="V33" s="324"/>
      <c r="W33" s="324"/>
      <c r="X33" s="326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  <c r="CC33" s="320"/>
      <c r="CD33" s="320"/>
      <c r="CE33" s="320"/>
      <c r="CF33" s="320"/>
      <c r="CG33" s="320"/>
      <c r="CH33" s="320"/>
      <c r="CI33" s="320"/>
      <c r="CJ33" s="320"/>
      <c r="CK33" s="320"/>
      <c r="CL33" s="320"/>
      <c r="CM33" s="320"/>
      <c r="CN33" s="320"/>
      <c r="CO33" s="320"/>
      <c r="CP33" s="320"/>
      <c r="CQ33" s="320"/>
      <c r="CR33" s="320"/>
      <c r="CS33" s="320"/>
      <c r="CT33" s="320"/>
      <c r="CU33" s="320"/>
      <c r="CV33" s="320"/>
      <c r="CW33" s="320"/>
      <c r="CX33" s="320"/>
      <c r="CY33" s="320"/>
      <c r="CZ33" s="320"/>
      <c r="DA33" s="320"/>
      <c r="DB33" s="320"/>
      <c r="DC33" s="320"/>
      <c r="DD33" s="320"/>
      <c r="DE33" s="320"/>
      <c r="DF33" s="320"/>
      <c r="DG33" s="320"/>
      <c r="DH33" s="320"/>
      <c r="DI33" s="320"/>
      <c r="DJ33" s="320"/>
      <c r="DK33" s="320"/>
      <c r="DL33" s="320"/>
      <c r="DM33" s="320"/>
      <c r="DN33" s="320"/>
      <c r="DO33" s="320"/>
      <c r="DP33" s="320"/>
      <c r="DQ33" s="320"/>
      <c r="DR33" s="320"/>
      <c r="DS33" s="320"/>
      <c r="DT33" s="320"/>
      <c r="DU33" s="320"/>
      <c r="DV33" s="320"/>
      <c r="DW33" s="320"/>
      <c r="DX33" s="320"/>
      <c r="DY33" s="320"/>
      <c r="DZ33" s="320"/>
      <c r="EA33" s="320"/>
      <c r="EB33" s="320"/>
      <c r="EC33" s="320"/>
      <c r="ED33" s="320"/>
      <c r="EE33" s="320"/>
      <c r="EF33" s="320"/>
      <c r="EG33" s="320"/>
      <c r="EH33" s="320"/>
      <c r="EI33" s="320"/>
      <c r="EJ33" s="320"/>
      <c r="EK33" s="320"/>
      <c r="EL33" s="320"/>
      <c r="EM33" s="320"/>
      <c r="EN33" s="320"/>
      <c r="EO33" s="320"/>
      <c r="EP33" s="320"/>
      <c r="EQ33" s="320"/>
      <c r="ER33" s="320"/>
      <c r="ES33" s="320"/>
      <c r="ET33" s="320"/>
      <c r="EU33" s="320"/>
      <c r="EV33" s="320"/>
      <c r="EW33" s="320"/>
      <c r="EX33" s="320"/>
      <c r="EY33" s="320"/>
      <c r="EZ33" s="320"/>
      <c r="FA33" s="320"/>
      <c r="FB33" s="320"/>
      <c r="FC33" s="320"/>
      <c r="FD33" s="320"/>
      <c r="FE33" s="320"/>
      <c r="FF33" s="320"/>
      <c r="FG33" s="320"/>
      <c r="FH33" s="320"/>
      <c r="FI33" s="320"/>
      <c r="FJ33" s="320"/>
      <c r="FK33" s="320"/>
      <c r="FL33" s="320"/>
      <c r="FM33" s="320"/>
      <c r="FN33" s="320"/>
      <c r="FO33" s="320"/>
      <c r="FP33" s="320"/>
      <c r="FQ33" s="320"/>
      <c r="FR33" s="320"/>
      <c r="FS33" s="320"/>
      <c r="FT33" s="320"/>
      <c r="FU33" s="320"/>
      <c r="FV33" s="320"/>
      <c r="FW33" s="320"/>
      <c r="FX33" s="320"/>
      <c r="FY33" s="320"/>
      <c r="FZ33" s="320"/>
      <c r="GA33" s="320"/>
      <c r="GB33" s="320"/>
      <c r="GC33" s="320"/>
      <c r="GD33" s="320"/>
      <c r="GE33" s="320"/>
      <c r="GF33" s="320"/>
      <c r="GG33" s="320"/>
      <c r="GH33" s="320"/>
      <c r="GI33" s="320"/>
      <c r="GJ33" s="320"/>
      <c r="GK33" s="320"/>
      <c r="GL33" s="320"/>
      <c r="GM33" s="320"/>
      <c r="GN33" s="320"/>
      <c r="GO33" s="320"/>
      <c r="GP33" s="320"/>
      <c r="GQ33" s="320"/>
      <c r="GR33" s="320"/>
      <c r="GS33" s="320"/>
      <c r="GT33" s="320"/>
      <c r="GU33" s="320"/>
      <c r="GV33" s="320"/>
      <c r="GW33" s="320"/>
      <c r="GX33" s="320"/>
      <c r="GY33" s="320"/>
      <c r="GZ33" s="320"/>
      <c r="HA33" s="320"/>
      <c r="HB33" s="320"/>
      <c r="HC33" s="320"/>
      <c r="HD33" s="320"/>
      <c r="HE33" s="320"/>
      <c r="HF33" s="320"/>
      <c r="HG33" s="320"/>
      <c r="HH33" s="320"/>
      <c r="HI33" s="320"/>
      <c r="HJ33" s="320"/>
      <c r="HK33" s="320"/>
      <c r="HL33" s="320"/>
      <c r="HM33" s="320"/>
      <c r="HN33" s="320"/>
      <c r="HO33" s="320"/>
      <c r="HP33" s="320"/>
      <c r="HQ33" s="320"/>
      <c r="HR33" s="320"/>
      <c r="HS33" s="320"/>
      <c r="HT33" s="320"/>
      <c r="HU33" s="320"/>
      <c r="HV33" s="320"/>
      <c r="HW33" s="320"/>
      <c r="HX33" s="320"/>
      <c r="HY33" s="320"/>
      <c r="HZ33" s="320"/>
      <c r="IA33" s="320"/>
      <c r="IB33" s="320"/>
      <c r="IC33" s="320"/>
      <c r="ID33" s="320"/>
      <c r="IE33" s="320"/>
      <c r="IF33" s="320"/>
      <c r="IG33" s="320"/>
      <c r="IH33" s="320"/>
      <c r="II33" s="320"/>
      <c r="IJ33" s="320"/>
      <c r="IK33" s="320"/>
      <c r="IL33" s="320"/>
      <c r="IM33" s="320"/>
      <c r="IN33" s="320"/>
      <c r="IO33" s="320"/>
      <c r="IP33" s="320"/>
      <c r="IQ33" s="320"/>
      <c r="IR33" s="320"/>
      <c r="IS33" s="320"/>
      <c r="IT33" s="320"/>
      <c r="IU33" s="320"/>
      <c r="IV33" s="320"/>
      <c r="IW33" s="320"/>
      <c r="IX33" s="320"/>
      <c r="IY33" s="320"/>
    </row>
    <row r="34" spans="2:259" s="319" customFormat="1" ht="12.75" customHeight="1" x14ac:dyDescent="0.2">
      <c r="B34" s="932"/>
      <c r="C34" s="556"/>
      <c r="D34" s="557"/>
      <c r="E34" s="557"/>
      <c r="F34" s="558"/>
      <c r="G34" s="550"/>
      <c r="H34" s="550"/>
      <c r="I34" s="559"/>
      <c r="J34" s="559"/>
      <c r="K34" s="550"/>
      <c r="L34" s="935"/>
      <c r="M34" s="323"/>
      <c r="N34" s="327"/>
      <c r="O34" s="327"/>
      <c r="P34" s="322"/>
      <c r="Q34" s="322"/>
      <c r="R34" s="322"/>
      <c r="S34" s="325"/>
      <c r="T34" s="324"/>
      <c r="U34" s="324"/>
      <c r="V34" s="324"/>
      <c r="W34" s="324"/>
      <c r="X34" s="326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0"/>
      <c r="AV34" s="320"/>
      <c r="AW34" s="320"/>
      <c r="AX34" s="320"/>
      <c r="AY34" s="320"/>
      <c r="AZ34" s="320"/>
      <c r="BA34" s="320"/>
      <c r="BB34" s="320"/>
      <c r="BC34" s="320"/>
      <c r="BD34" s="320"/>
      <c r="BE34" s="320"/>
      <c r="BF34" s="320"/>
      <c r="BG34" s="320"/>
      <c r="BH34" s="320"/>
      <c r="BI34" s="320"/>
      <c r="BJ34" s="320"/>
      <c r="BK34" s="320"/>
      <c r="BL34" s="320"/>
      <c r="BM34" s="320"/>
      <c r="BN34" s="320"/>
      <c r="BO34" s="320"/>
      <c r="BP34" s="320"/>
      <c r="BQ34" s="320"/>
      <c r="BR34" s="320"/>
      <c r="BS34" s="320"/>
      <c r="BT34" s="320"/>
      <c r="BU34" s="320"/>
      <c r="BV34" s="320"/>
      <c r="BW34" s="320"/>
      <c r="BX34" s="320"/>
      <c r="BY34" s="320"/>
      <c r="BZ34" s="320"/>
      <c r="CA34" s="320"/>
      <c r="CB34" s="320"/>
      <c r="CC34" s="320"/>
      <c r="CD34" s="320"/>
      <c r="CE34" s="320"/>
      <c r="CF34" s="320"/>
      <c r="CG34" s="320"/>
      <c r="CH34" s="320"/>
      <c r="CI34" s="320"/>
      <c r="CJ34" s="320"/>
      <c r="CK34" s="320"/>
      <c r="CL34" s="320"/>
      <c r="CM34" s="320"/>
      <c r="CN34" s="320"/>
      <c r="CO34" s="320"/>
      <c r="CP34" s="320"/>
      <c r="CQ34" s="320"/>
      <c r="CR34" s="320"/>
      <c r="CS34" s="320"/>
      <c r="CT34" s="320"/>
      <c r="CU34" s="320"/>
      <c r="CV34" s="320"/>
      <c r="CW34" s="320"/>
      <c r="CX34" s="320"/>
      <c r="CY34" s="320"/>
      <c r="CZ34" s="320"/>
      <c r="DA34" s="320"/>
      <c r="DB34" s="320"/>
      <c r="DC34" s="320"/>
      <c r="DD34" s="320"/>
      <c r="DE34" s="320"/>
      <c r="DF34" s="320"/>
      <c r="DG34" s="320"/>
      <c r="DH34" s="320"/>
      <c r="DI34" s="320"/>
      <c r="DJ34" s="320"/>
      <c r="DK34" s="320"/>
      <c r="DL34" s="320"/>
      <c r="DM34" s="320"/>
      <c r="DN34" s="320"/>
      <c r="DO34" s="320"/>
      <c r="DP34" s="320"/>
      <c r="DQ34" s="320"/>
      <c r="DR34" s="320"/>
      <c r="DS34" s="320"/>
      <c r="DT34" s="320"/>
      <c r="DU34" s="320"/>
      <c r="DV34" s="320"/>
      <c r="DW34" s="320"/>
      <c r="DX34" s="320"/>
      <c r="DY34" s="320"/>
      <c r="DZ34" s="320"/>
      <c r="EA34" s="320"/>
      <c r="EB34" s="320"/>
      <c r="EC34" s="320"/>
      <c r="ED34" s="320"/>
      <c r="EE34" s="320"/>
      <c r="EF34" s="320"/>
      <c r="EG34" s="320"/>
      <c r="EH34" s="320"/>
      <c r="EI34" s="320"/>
      <c r="EJ34" s="320"/>
      <c r="EK34" s="320"/>
      <c r="EL34" s="320"/>
      <c r="EM34" s="320"/>
      <c r="EN34" s="320"/>
      <c r="EO34" s="320"/>
      <c r="EP34" s="320"/>
      <c r="EQ34" s="320"/>
      <c r="ER34" s="320"/>
      <c r="ES34" s="320"/>
      <c r="ET34" s="320"/>
      <c r="EU34" s="320"/>
      <c r="EV34" s="320"/>
      <c r="EW34" s="320"/>
      <c r="EX34" s="320"/>
      <c r="EY34" s="320"/>
      <c r="EZ34" s="320"/>
      <c r="FA34" s="320"/>
      <c r="FB34" s="320"/>
      <c r="FC34" s="320"/>
      <c r="FD34" s="320"/>
      <c r="FE34" s="320"/>
      <c r="FF34" s="320"/>
      <c r="FG34" s="320"/>
      <c r="FH34" s="320"/>
      <c r="FI34" s="320"/>
      <c r="FJ34" s="320"/>
      <c r="FK34" s="320"/>
      <c r="FL34" s="320"/>
      <c r="FM34" s="320"/>
      <c r="FN34" s="320"/>
      <c r="FO34" s="320"/>
      <c r="FP34" s="320"/>
      <c r="FQ34" s="320"/>
      <c r="FR34" s="320"/>
      <c r="FS34" s="320"/>
      <c r="FT34" s="320"/>
      <c r="FU34" s="320"/>
      <c r="FV34" s="320"/>
      <c r="FW34" s="320"/>
      <c r="FX34" s="320"/>
      <c r="FY34" s="320"/>
      <c r="FZ34" s="320"/>
      <c r="GA34" s="320"/>
      <c r="GB34" s="320"/>
      <c r="GC34" s="320"/>
      <c r="GD34" s="320"/>
      <c r="GE34" s="320"/>
      <c r="GF34" s="320"/>
      <c r="GG34" s="320"/>
      <c r="GH34" s="320"/>
      <c r="GI34" s="320"/>
      <c r="GJ34" s="320"/>
      <c r="GK34" s="320"/>
      <c r="GL34" s="320"/>
      <c r="GM34" s="320"/>
      <c r="GN34" s="320"/>
      <c r="GO34" s="320"/>
      <c r="GP34" s="320"/>
      <c r="GQ34" s="320"/>
      <c r="GR34" s="320"/>
      <c r="GS34" s="320"/>
      <c r="GT34" s="320"/>
      <c r="GU34" s="320"/>
      <c r="GV34" s="320"/>
      <c r="GW34" s="320"/>
      <c r="GX34" s="320"/>
      <c r="GY34" s="320"/>
      <c r="GZ34" s="320"/>
      <c r="HA34" s="320"/>
      <c r="HB34" s="320"/>
      <c r="HC34" s="320"/>
      <c r="HD34" s="320"/>
      <c r="HE34" s="320"/>
      <c r="HF34" s="320"/>
      <c r="HG34" s="320"/>
      <c r="HH34" s="320"/>
      <c r="HI34" s="320"/>
      <c r="HJ34" s="320"/>
      <c r="HK34" s="320"/>
      <c r="HL34" s="320"/>
      <c r="HM34" s="320"/>
      <c r="HN34" s="320"/>
      <c r="HO34" s="320"/>
      <c r="HP34" s="320"/>
      <c r="HQ34" s="320"/>
      <c r="HR34" s="320"/>
      <c r="HS34" s="320"/>
      <c r="HT34" s="320"/>
      <c r="HU34" s="320"/>
      <c r="HV34" s="320"/>
      <c r="HW34" s="320"/>
      <c r="HX34" s="320"/>
      <c r="HY34" s="320"/>
      <c r="HZ34" s="320"/>
      <c r="IA34" s="320"/>
      <c r="IB34" s="320"/>
      <c r="IC34" s="320"/>
      <c r="ID34" s="320"/>
      <c r="IE34" s="320"/>
      <c r="IF34" s="320"/>
      <c r="IG34" s="320"/>
      <c r="IH34" s="320"/>
      <c r="II34" s="320"/>
      <c r="IJ34" s="320"/>
      <c r="IK34" s="320"/>
      <c r="IL34" s="320"/>
      <c r="IM34" s="320"/>
      <c r="IN34" s="320"/>
      <c r="IO34" s="320"/>
      <c r="IP34" s="320"/>
      <c r="IQ34" s="320"/>
      <c r="IR34" s="320"/>
      <c r="IS34" s="320"/>
      <c r="IT34" s="320"/>
      <c r="IU34" s="320"/>
      <c r="IV34" s="320"/>
      <c r="IW34" s="320"/>
      <c r="IX34" s="320"/>
      <c r="IY34" s="320"/>
    </row>
    <row r="35" spans="2:259" s="319" customFormat="1" ht="12.75" customHeight="1" x14ac:dyDescent="0.2">
      <c r="B35" s="932"/>
      <c r="C35" s="556"/>
      <c r="D35" s="557"/>
      <c r="E35" s="557"/>
      <c r="F35" s="558"/>
      <c r="G35" s="550"/>
      <c r="H35" s="550"/>
      <c r="I35" s="559"/>
      <c r="J35" s="559"/>
      <c r="K35" s="550"/>
      <c r="L35" s="935"/>
      <c r="M35" s="323"/>
      <c r="N35" s="327"/>
      <c r="O35" s="327"/>
      <c r="P35" s="322"/>
      <c r="Q35" s="322"/>
      <c r="R35" s="322"/>
      <c r="S35" s="325"/>
      <c r="T35" s="324"/>
      <c r="U35" s="324"/>
      <c r="V35" s="324"/>
      <c r="W35" s="324"/>
      <c r="X35" s="326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BD35" s="320"/>
      <c r="BE35" s="320"/>
      <c r="BF35" s="320"/>
      <c r="BG35" s="320"/>
      <c r="BH35" s="320"/>
      <c r="BI35" s="320"/>
      <c r="BJ35" s="320"/>
      <c r="BK35" s="320"/>
      <c r="BL35" s="320"/>
      <c r="BM35" s="320"/>
      <c r="BN35" s="320"/>
      <c r="BO35" s="320"/>
      <c r="BP35" s="320"/>
      <c r="BQ35" s="320"/>
      <c r="BR35" s="320"/>
      <c r="BS35" s="320"/>
      <c r="BT35" s="320"/>
      <c r="BU35" s="320"/>
      <c r="BV35" s="320"/>
      <c r="BW35" s="320"/>
      <c r="BX35" s="320"/>
      <c r="BY35" s="320"/>
      <c r="BZ35" s="320"/>
      <c r="CA35" s="320"/>
      <c r="CB35" s="320"/>
      <c r="CC35" s="320"/>
      <c r="CD35" s="320"/>
      <c r="CE35" s="320"/>
      <c r="CF35" s="320"/>
      <c r="CG35" s="320"/>
      <c r="CH35" s="320"/>
      <c r="CI35" s="320"/>
      <c r="CJ35" s="320"/>
      <c r="CK35" s="320"/>
      <c r="CL35" s="320"/>
      <c r="CM35" s="320"/>
      <c r="CN35" s="320"/>
      <c r="CO35" s="320"/>
      <c r="CP35" s="320"/>
      <c r="CQ35" s="320"/>
      <c r="CR35" s="320"/>
      <c r="CS35" s="320"/>
      <c r="CT35" s="320"/>
      <c r="CU35" s="320"/>
      <c r="CV35" s="320"/>
      <c r="CW35" s="320"/>
      <c r="CX35" s="320"/>
      <c r="CY35" s="320"/>
      <c r="CZ35" s="320"/>
      <c r="DA35" s="320"/>
      <c r="DB35" s="320"/>
      <c r="DC35" s="320"/>
      <c r="DD35" s="320"/>
      <c r="DE35" s="320"/>
      <c r="DF35" s="320"/>
      <c r="DG35" s="320"/>
      <c r="DH35" s="320"/>
      <c r="DI35" s="320"/>
      <c r="DJ35" s="320"/>
      <c r="DK35" s="320"/>
      <c r="DL35" s="320"/>
      <c r="DM35" s="320"/>
      <c r="DN35" s="320"/>
      <c r="DO35" s="320"/>
      <c r="DP35" s="320"/>
      <c r="DQ35" s="320"/>
      <c r="DR35" s="320"/>
      <c r="DS35" s="320"/>
      <c r="DT35" s="320"/>
      <c r="DU35" s="320"/>
      <c r="DV35" s="320"/>
      <c r="DW35" s="320"/>
      <c r="DX35" s="320"/>
      <c r="DY35" s="320"/>
      <c r="DZ35" s="320"/>
      <c r="EA35" s="320"/>
      <c r="EB35" s="320"/>
      <c r="EC35" s="320"/>
      <c r="ED35" s="320"/>
      <c r="EE35" s="320"/>
      <c r="EF35" s="320"/>
      <c r="EG35" s="320"/>
      <c r="EH35" s="320"/>
      <c r="EI35" s="320"/>
      <c r="EJ35" s="320"/>
      <c r="EK35" s="320"/>
      <c r="EL35" s="320"/>
      <c r="EM35" s="320"/>
      <c r="EN35" s="320"/>
      <c r="EO35" s="320"/>
      <c r="EP35" s="320"/>
      <c r="EQ35" s="320"/>
      <c r="ER35" s="320"/>
      <c r="ES35" s="320"/>
      <c r="ET35" s="320"/>
      <c r="EU35" s="320"/>
      <c r="EV35" s="320"/>
      <c r="EW35" s="320"/>
      <c r="EX35" s="320"/>
      <c r="EY35" s="320"/>
      <c r="EZ35" s="320"/>
      <c r="FA35" s="320"/>
      <c r="FB35" s="320"/>
      <c r="FC35" s="320"/>
      <c r="FD35" s="320"/>
      <c r="FE35" s="320"/>
      <c r="FF35" s="320"/>
      <c r="FG35" s="320"/>
      <c r="FH35" s="320"/>
      <c r="FI35" s="320"/>
      <c r="FJ35" s="320"/>
      <c r="FK35" s="320"/>
      <c r="FL35" s="320"/>
      <c r="FM35" s="320"/>
      <c r="FN35" s="320"/>
      <c r="FO35" s="320"/>
      <c r="FP35" s="320"/>
      <c r="FQ35" s="320"/>
      <c r="FR35" s="320"/>
      <c r="FS35" s="320"/>
      <c r="FT35" s="320"/>
      <c r="FU35" s="320"/>
      <c r="FV35" s="320"/>
      <c r="FW35" s="320"/>
      <c r="FX35" s="320"/>
      <c r="FY35" s="320"/>
      <c r="FZ35" s="320"/>
      <c r="GA35" s="320"/>
      <c r="GB35" s="320"/>
      <c r="GC35" s="320"/>
      <c r="GD35" s="320"/>
      <c r="GE35" s="320"/>
      <c r="GF35" s="320"/>
      <c r="GG35" s="320"/>
      <c r="GH35" s="320"/>
      <c r="GI35" s="320"/>
      <c r="GJ35" s="320"/>
      <c r="GK35" s="320"/>
      <c r="GL35" s="320"/>
      <c r="GM35" s="320"/>
      <c r="GN35" s="320"/>
      <c r="GO35" s="320"/>
      <c r="GP35" s="320"/>
      <c r="GQ35" s="320"/>
      <c r="GR35" s="320"/>
      <c r="GS35" s="320"/>
      <c r="GT35" s="320"/>
      <c r="GU35" s="320"/>
      <c r="GV35" s="320"/>
      <c r="GW35" s="320"/>
      <c r="GX35" s="320"/>
      <c r="GY35" s="320"/>
      <c r="GZ35" s="320"/>
      <c r="HA35" s="320"/>
      <c r="HB35" s="320"/>
      <c r="HC35" s="320"/>
      <c r="HD35" s="320"/>
      <c r="HE35" s="320"/>
      <c r="HF35" s="320"/>
      <c r="HG35" s="320"/>
      <c r="HH35" s="320"/>
      <c r="HI35" s="320"/>
      <c r="HJ35" s="320"/>
      <c r="HK35" s="320"/>
      <c r="HL35" s="320"/>
      <c r="HM35" s="320"/>
      <c r="HN35" s="320"/>
      <c r="HO35" s="320"/>
      <c r="HP35" s="320"/>
      <c r="HQ35" s="320"/>
      <c r="HR35" s="320"/>
      <c r="HS35" s="320"/>
      <c r="HT35" s="320"/>
      <c r="HU35" s="320"/>
      <c r="HV35" s="320"/>
      <c r="HW35" s="320"/>
      <c r="HX35" s="320"/>
      <c r="HY35" s="320"/>
      <c r="HZ35" s="320"/>
      <c r="IA35" s="320"/>
      <c r="IB35" s="320"/>
      <c r="IC35" s="320"/>
      <c r="ID35" s="320"/>
      <c r="IE35" s="320"/>
      <c r="IF35" s="320"/>
      <c r="IG35" s="320"/>
      <c r="IH35" s="320"/>
      <c r="II35" s="320"/>
      <c r="IJ35" s="320"/>
      <c r="IK35" s="320"/>
      <c r="IL35" s="320"/>
      <c r="IM35" s="320"/>
      <c r="IN35" s="320"/>
      <c r="IO35" s="320"/>
      <c r="IP35" s="320"/>
      <c r="IQ35" s="320"/>
      <c r="IR35" s="320"/>
      <c r="IS35" s="320"/>
      <c r="IT35" s="320"/>
      <c r="IU35" s="320"/>
      <c r="IV35" s="320"/>
      <c r="IW35" s="320"/>
      <c r="IX35" s="320"/>
      <c r="IY35" s="320"/>
    </row>
    <row r="36" spans="2:259" s="319" customFormat="1" ht="12.75" customHeight="1" thickBot="1" x14ac:dyDescent="0.25">
      <c r="B36" s="933"/>
      <c r="C36" s="560"/>
      <c r="D36" s="561"/>
      <c r="E36" s="561"/>
      <c r="F36" s="562"/>
      <c r="G36" s="551"/>
      <c r="H36" s="551"/>
      <c r="I36" s="563"/>
      <c r="J36" s="563"/>
      <c r="K36" s="551"/>
      <c r="L36" s="936"/>
      <c r="M36" s="323"/>
      <c r="N36" s="327"/>
      <c r="O36" s="327"/>
      <c r="P36" s="322"/>
      <c r="Q36" s="322"/>
      <c r="R36" s="322"/>
      <c r="S36" s="325"/>
      <c r="T36" s="324"/>
      <c r="U36" s="324"/>
      <c r="V36" s="324"/>
      <c r="W36" s="324"/>
      <c r="X36" s="326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  <c r="BK36" s="320"/>
      <c r="BL36" s="320"/>
      <c r="BM36" s="320"/>
      <c r="BN36" s="320"/>
      <c r="BO36" s="320"/>
      <c r="BP36" s="320"/>
      <c r="BQ36" s="320"/>
      <c r="BR36" s="320"/>
      <c r="BS36" s="320"/>
      <c r="BT36" s="320"/>
      <c r="BU36" s="320"/>
      <c r="BV36" s="320"/>
      <c r="BW36" s="320"/>
      <c r="BX36" s="320"/>
      <c r="BY36" s="320"/>
      <c r="BZ36" s="320"/>
      <c r="CA36" s="320"/>
      <c r="CB36" s="320"/>
      <c r="CC36" s="320"/>
      <c r="CD36" s="320"/>
      <c r="CE36" s="320"/>
      <c r="CF36" s="320"/>
      <c r="CG36" s="320"/>
      <c r="CH36" s="320"/>
      <c r="CI36" s="320"/>
      <c r="CJ36" s="320"/>
      <c r="CK36" s="320"/>
      <c r="CL36" s="320"/>
      <c r="CM36" s="320"/>
      <c r="CN36" s="320"/>
      <c r="CO36" s="320"/>
      <c r="CP36" s="320"/>
      <c r="CQ36" s="320"/>
      <c r="CR36" s="320"/>
      <c r="CS36" s="320"/>
      <c r="CT36" s="320"/>
      <c r="CU36" s="320"/>
      <c r="CV36" s="320"/>
      <c r="CW36" s="320"/>
      <c r="CX36" s="320"/>
      <c r="CY36" s="320"/>
      <c r="CZ36" s="320"/>
      <c r="DA36" s="320"/>
      <c r="DB36" s="320"/>
      <c r="DC36" s="320"/>
      <c r="DD36" s="320"/>
      <c r="DE36" s="320"/>
      <c r="DF36" s="320"/>
      <c r="DG36" s="320"/>
      <c r="DH36" s="320"/>
      <c r="DI36" s="320"/>
      <c r="DJ36" s="320"/>
      <c r="DK36" s="320"/>
      <c r="DL36" s="320"/>
      <c r="DM36" s="320"/>
      <c r="DN36" s="320"/>
      <c r="DO36" s="320"/>
      <c r="DP36" s="320"/>
      <c r="DQ36" s="320"/>
      <c r="DR36" s="320"/>
      <c r="DS36" s="320"/>
      <c r="DT36" s="320"/>
      <c r="DU36" s="320"/>
      <c r="DV36" s="320"/>
      <c r="DW36" s="320"/>
      <c r="DX36" s="320"/>
      <c r="DY36" s="320"/>
      <c r="DZ36" s="320"/>
      <c r="EA36" s="320"/>
      <c r="EB36" s="320"/>
      <c r="EC36" s="320"/>
      <c r="ED36" s="320"/>
      <c r="EE36" s="320"/>
      <c r="EF36" s="320"/>
      <c r="EG36" s="320"/>
      <c r="EH36" s="320"/>
      <c r="EI36" s="320"/>
      <c r="EJ36" s="320"/>
      <c r="EK36" s="320"/>
      <c r="EL36" s="320"/>
      <c r="EM36" s="320"/>
      <c r="EN36" s="320"/>
      <c r="EO36" s="320"/>
      <c r="EP36" s="320"/>
      <c r="EQ36" s="320"/>
      <c r="ER36" s="320"/>
      <c r="ES36" s="320"/>
      <c r="ET36" s="320"/>
      <c r="EU36" s="320"/>
      <c r="EV36" s="320"/>
      <c r="EW36" s="320"/>
      <c r="EX36" s="320"/>
      <c r="EY36" s="320"/>
      <c r="EZ36" s="320"/>
      <c r="FA36" s="320"/>
      <c r="FB36" s="320"/>
      <c r="FC36" s="320"/>
      <c r="FD36" s="320"/>
      <c r="FE36" s="320"/>
      <c r="FF36" s="320"/>
      <c r="FG36" s="320"/>
      <c r="FH36" s="320"/>
      <c r="FI36" s="320"/>
      <c r="FJ36" s="320"/>
      <c r="FK36" s="320"/>
      <c r="FL36" s="320"/>
      <c r="FM36" s="320"/>
      <c r="FN36" s="320"/>
      <c r="FO36" s="320"/>
      <c r="FP36" s="320"/>
      <c r="FQ36" s="320"/>
      <c r="FR36" s="320"/>
      <c r="FS36" s="320"/>
      <c r="FT36" s="320"/>
      <c r="FU36" s="320"/>
      <c r="FV36" s="320"/>
      <c r="FW36" s="320"/>
      <c r="FX36" s="320"/>
      <c r="FY36" s="320"/>
      <c r="FZ36" s="320"/>
      <c r="GA36" s="320"/>
      <c r="GB36" s="320"/>
      <c r="GC36" s="320"/>
      <c r="GD36" s="320"/>
      <c r="GE36" s="320"/>
      <c r="GF36" s="320"/>
      <c r="GG36" s="320"/>
      <c r="GH36" s="320"/>
      <c r="GI36" s="320"/>
      <c r="GJ36" s="320"/>
      <c r="GK36" s="320"/>
      <c r="GL36" s="320"/>
      <c r="GM36" s="320"/>
      <c r="GN36" s="320"/>
      <c r="GO36" s="320"/>
      <c r="GP36" s="320"/>
      <c r="GQ36" s="320"/>
      <c r="GR36" s="320"/>
      <c r="GS36" s="320"/>
      <c r="GT36" s="320"/>
      <c r="GU36" s="320"/>
      <c r="GV36" s="320"/>
      <c r="GW36" s="320"/>
      <c r="GX36" s="320"/>
      <c r="GY36" s="320"/>
      <c r="GZ36" s="320"/>
      <c r="HA36" s="320"/>
      <c r="HB36" s="320"/>
      <c r="HC36" s="320"/>
      <c r="HD36" s="320"/>
      <c r="HE36" s="320"/>
      <c r="HF36" s="320"/>
      <c r="HG36" s="320"/>
      <c r="HH36" s="320"/>
      <c r="HI36" s="320"/>
      <c r="HJ36" s="320"/>
      <c r="HK36" s="320"/>
      <c r="HL36" s="320"/>
      <c r="HM36" s="320"/>
      <c r="HN36" s="320"/>
      <c r="HO36" s="320"/>
      <c r="HP36" s="320"/>
      <c r="HQ36" s="320"/>
      <c r="HR36" s="320"/>
      <c r="HS36" s="320"/>
      <c r="HT36" s="320"/>
      <c r="HU36" s="320"/>
      <c r="HV36" s="320"/>
      <c r="HW36" s="320"/>
      <c r="HX36" s="320"/>
      <c r="HY36" s="320"/>
      <c r="HZ36" s="320"/>
      <c r="IA36" s="320"/>
      <c r="IB36" s="320"/>
      <c r="IC36" s="320"/>
      <c r="ID36" s="320"/>
      <c r="IE36" s="320"/>
      <c r="IF36" s="320"/>
      <c r="IG36" s="320"/>
      <c r="IH36" s="320"/>
      <c r="II36" s="320"/>
      <c r="IJ36" s="320"/>
      <c r="IK36" s="320"/>
      <c r="IL36" s="320"/>
      <c r="IM36" s="320"/>
      <c r="IN36" s="320"/>
      <c r="IO36" s="320"/>
      <c r="IP36" s="320"/>
      <c r="IQ36" s="320"/>
      <c r="IR36" s="320"/>
      <c r="IS36" s="320"/>
      <c r="IT36" s="320"/>
      <c r="IU36" s="320"/>
      <c r="IV36" s="320"/>
      <c r="IW36" s="320"/>
      <c r="IX36" s="320"/>
      <c r="IY36" s="320"/>
    </row>
    <row r="37" spans="2:259" ht="12.75" customHeight="1" thickBot="1" x14ac:dyDescent="0.25">
      <c r="B37" s="25"/>
      <c r="C37" s="37"/>
      <c r="D37" s="37"/>
      <c r="E37" s="38"/>
      <c r="F37" s="38"/>
      <c r="G37" s="38"/>
      <c r="H37" s="38"/>
      <c r="I37" s="38"/>
      <c r="J37" s="38"/>
      <c r="K37" s="161" t="s">
        <v>94</v>
      </c>
      <c r="L37" s="162">
        <f>SUM(L11:L36)</f>
        <v>85171451.079999983</v>
      </c>
      <c r="N37" s="26"/>
      <c r="O37" s="26"/>
      <c r="P37" s="26"/>
      <c r="Q37" s="327"/>
      <c r="R37" s="327"/>
      <c r="S37" s="327"/>
      <c r="T37" s="29"/>
      <c r="U37" s="29"/>
      <c r="V37" s="30"/>
      <c r="W37" s="30"/>
      <c r="X37" s="31"/>
      <c r="Y37" s="31"/>
    </row>
    <row r="38" spans="2:259" ht="12.75" customHeight="1" x14ac:dyDescent="0.2">
      <c r="B38" s="25"/>
      <c r="C38" s="37"/>
      <c r="D38" s="37"/>
      <c r="E38" s="38"/>
      <c r="F38" s="38"/>
      <c r="G38" s="38"/>
      <c r="H38" s="38"/>
      <c r="I38" s="38"/>
      <c r="J38" s="38"/>
      <c r="K38" s="32"/>
      <c r="L38" s="32"/>
      <c r="M38" s="32"/>
      <c r="N38" s="26"/>
      <c r="O38" s="26"/>
      <c r="P38" s="26"/>
      <c r="Q38" s="327"/>
      <c r="R38" s="327"/>
      <c r="S38" s="327"/>
      <c r="T38" s="29"/>
      <c r="U38" s="29"/>
      <c r="V38" s="30"/>
      <c r="W38" s="30"/>
      <c r="X38" s="31"/>
      <c r="Y38" s="31"/>
    </row>
    <row r="39" spans="2:259" ht="12.7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  <c r="W39" s="30"/>
      <c r="X39" s="31"/>
      <c r="Y39" s="31"/>
    </row>
    <row r="40" spans="2:259" ht="12.75" customHeight="1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0"/>
      <c r="W40" s="30"/>
      <c r="X40" s="31"/>
      <c r="Y40" s="31"/>
    </row>
    <row r="41" spans="2:259" x14ac:dyDescent="0.2">
      <c r="B41" s="25"/>
      <c r="C41" s="25"/>
      <c r="D41" s="686"/>
      <c r="E41" s="25"/>
      <c r="F41" s="25"/>
      <c r="G41" s="25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0"/>
      <c r="W41" s="30"/>
      <c r="X41" s="31"/>
      <c r="Y41" s="31"/>
    </row>
    <row r="42" spans="2:259" x14ac:dyDescent="0.2">
      <c r="B42" s="25"/>
      <c r="C42" s="25"/>
      <c r="D42" s="25"/>
      <c r="E42" s="25"/>
      <c r="F42" s="25"/>
      <c r="G42" s="25"/>
      <c r="H42" s="25"/>
      <c r="I42" s="709"/>
      <c r="J42" s="25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  <c r="W42" s="30"/>
      <c r="X42" s="31"/>
      <c r="Y42" s="31"/>
    </row>
    <row r="43" spans="2:259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0"/>
      <c r="W43" s="30"/>
      <c r="X43" s="31"/>
      <c r="Y43" s="31"/>
    </row>
    <row r="44" spans="2:259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0"/>
      <c r="W44" s="30"/>
      <c r="X44" s="31"/>
      <c r="Y44" s="31"/>
    </row>
  </sheetData>
  <sheetProtection algorithmName="SHA-512" hashValue="aMPcPRLFZUCMGqVL39zx4FUYoJecieHfNaaKiI28dfQDaEhKQR7fxTerNOur32h3PfK1IxQmP/obR+kczPnpBg==" saltValue="DfluEH/tAOTNebi4KHyqFQ==" spinCount="100000" sheet="1" objects="1" scenarios="1"/>
  <mergeCells count="19">
    <mergeCell ref="B31:B36"/>
    <mergeCell ref="L31:L36"/>
    <mergeCell ref="B23:B30"/>
    <mergeCell ref="L23:L30"/>
    <mergeCell ref="K9:K10"/>
    <mergeCell ref="L9:L10"/>
    <mergeCell ref="G9:G10"/>
    <mergeCell ref="H9:H10"/>
    <mergeCell ref="I9:I10"/>
    <mergeCell ref="J9:J10"/>
    <mergeCell ref="T10:W10"/>
    <mergeCell ref="B11:B22"/>
    <mergeCell ref="L11:L22"/>
    <mergeCell ref="F9:F10"/>
    <mergeCell ref="B7:E7"/>
    <mergeCell ref="B9:B10"/>
    <mergeCell ref="C9:C10"/>
    <mergeCell ref="D9:D10"/>
    <mergeCell ref="E9:E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1"/>
  <sheetViews>
    <sheetView showGridLines="0" topLeftCell="H1" zoomScale="80" zoomScaleNormal="80" workbookViewId="0">
      <selection activeCell="O24" sqref="O24"/>
    </sheetView>
  </sheetViews>
  <sheetFormatPr baseColWidth="10" defaultColWidth="10.7109375" defaultRowHeight="12.75" x14ac:dyDescent="0.2"/>
  <cols>
    <col min="1" max="1" width="33" style="3" customWidth="1"/>
    <col min="2" max="2" width="33" style="9" bestFit="1" customWidth="1"/>
    <col min="3" max="12" width="14.7109375" style="9" customWidth="1"/>
    <col min="13" max="13" width="33.5703125" style="3" bestFit="1" customWidth="1"/>
    <col min="14" max="14" width="14.7109375" style="9" customWidth="1"/>
    <col min="15" max="15" width="33.5703125" style="3" bestFit="1" customWidth="1"/>
    <col min="16" max="16" width="14.7109375" style="9" customWidth="1"/>
    <col min="17" max="17" width="14.28515625" style="3" customWidth="1"/>
    <col min="18" max="16384" width="10.7109375" style="3"/>
  </cols>
  <sheetData>
    <row r="1" spans="1:19" x14ac:dyDescent="0.2">
      <c r="B1" s="36"/>
      <c r="C1" s="36"/>
      <c r="D1" s="36" t="s">
        <v>204</v>
      </c>
      <c r="E1" s="36"/>
      <c r="F1" s="36"/>
      <c r="G1" s="36"/>
      <c r="H1" s="36"/>
      <c r="I1" s="36"/>
      <c r="J1" s="36"/>
      <c r="K1" s="36"/>
      <c r="L1" s="36"/>
      <c r="M1" s="36"/>
      <c r="N1" s="36"/>
      <c r="P1" s="36"/>
    </row>
    <row r="2" spans="1:19" x14ac:dyDescent="0.2">
      <c r="B2" s="36"/>
      <c r="C2" s="36"/>
      <c r="D2" s="36" t="s">
        <v>196</v>
      </c>
      <c r="E2" s="36"/>
      <c r="F2" s="36"/>
      <c r="G2" s="36"/>
      <c r="H2" s="36"/>
      <c r="I2" s="36"/>
      <c r="J2" s="36"/>
      <c r="K2" s="36"/>
      <c r="L2" s="36"/>
      <c r="M2" s="36"/>
      <c r="N2" s="36"/>
      <c r="P2" s="36"/>
    </row>
    <row r="3" spans="1:19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N3" s="13"/>
      <c r="P3" s="13"/>
    </row>
    <row r="4" spans="1:19" ht="18.75" customHeight="1" x14ac:dyDescent="0.2">
      <c r="C4" s="17" t="s">
        <v>0</v>
      </c>
      <c r="D4" s="955" t="str">
        <f>+'B) Reajuste Tarifas y Ocupación'!F5</f>
        <v>(DEPTO./DELEG.)</v>
      </c>
      <c r="E4" s="738"/>
      <c r="F4" s="956"/>
      <c r="G4" s="181"/>
      <c r="H4" s="181"/>
      <c r="I4" s="181"/>
      <c r="J4" s="181"/>
      <c r="K4" s="181"/>
      <c r="L4" s="181"/>
      <c r="N4" s="181"/>
      <c r="P4" s="181"/>
    </row>
    <row r="5" spans="1:19" x14ac:dyDescent="0.2">
      <c r="A5" s="8"/>
      <c r="B5" s="18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P5" s="181"/>
    </row>
    <row r="6" spans="1:19" x14ac:dyDescent="0.2">
      <c r="A6" s="8"/>
      <c r="B6" s="18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P6" s="181"/>
    </row>
    <row r="7" spans="1:19" ht="12.75" customHeight="1" x14ac:dyDescent="0.2">
      <c r="A7" s="968" t="s">
        <v>128</v>
      </c>
      <c r="B7" s="969"/>
      <c r="C7" s="969"/>
      <c r="D7" s="969"/>
      <c r="E7" s="969"/>
      <c r="F7" s="969"/>
      <c r="G7" s="969"/>
      <c r="H7" s="969"/>
      <c r="I7" s="969"/>
      <c r="J7" s="969"/>
      <c r="K7" s="969"/>
      <c r="L7" s="969"/>
      <c r="M7" s="969"/>
      <c r="N7" s="969"/>
      <c r="O7" s="970"/>
      <c r="P7" s="46"/>
    </row>
    <row r="8" spans="1:19" x14ac:dyDescent="0.2">
      <c r="A8" s="971"/>
      <c r="B8" s="972"/>
      <c r="C8" s="972"/>
      <c r="D8" s="972"/>
      <c r="E8" s="972"/>
      <c r="F8" s="972"/>
      <c r="G8" s="972"/>
      <c r="H8" s="972"/>
      <c r="I8" s="972"/>
      <c r="J8" s="972"/>
      <c r="K8" s="972"/>
      <c r="L8" s="972"/>
      <c r="M8" s="972"/>
      <c r="N8" s="972"/>
      <c r="O8" s="973"/>
      <c r="P8" s="46"/>
    </row>
    <row r="9" spans="1:19" x14ac:dyDescent="0.2">
      <c r="A9" s="974"/>
      <c r="B9" s="975"/>
      <c r="C9" s="975"/>
      <c r="D9" s="975"/>
      <c r="E9" s="975"/>
      <c r="F9" s="975"/>
      <c r="G9" s="975"/>
      <c r="H9" s="975"/>
      <c r="I9" s="975"/>
      <c r="J9" s="975"/>
      <c r="K9" s="975"/>
      <c r="L9" s="975"/>
      <c r="M9" s="975"/>
      <c r="N9" s="975"/>
      <c r="O9" s="976"/>
      <c r="P9" s="46"/>
    </row>
    <row r="10" spans="1:19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19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9" ht="15.75" x14ac:dyDescent="0.2">
      <c r="A12" s="915" t="s">
        <v>158</v>
      </c>
      <c r="B12" s="915"/>
      <c r="C12" s="915"/>
      <c r="D12" s="915"/>
      <c r="E12" s="182"/>
      <c r="F12" s="42"/>
      <c r="G12" s="42"/>
      <c r="H12" s="42"/>
      <c r="I12" s="41"/>
      <c r="J12" s="41"/>
      <c r="K12" s="42"/>
      <c r="L12" s="42"/>
      <c r="M12" s="42"/>
      <c r="N12" s="42"/>
      <c r="O12" s="42"/>
      <c r="P12" s="42"/>
    </row>
    <row r="13" spans="1:19" ht="13.5" thickBot="1" x14ac:dyDescent="0.25">
      <c r="A13" s="8"/>
      <c r="B13" s="18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P13" s="181"/>
    </row>
    <row r="14" spans="1:19" ht="20.25" customHeight="1" x14ac:dyDescent="0.2">
      <c r="A14" s="959" t="s">
        <v>133</v>
      </c>
      <c r="B14" s="961" t="s">
        <v>5</v>
      </c>
      <c r="C14" s="745" t="s">
        <v>262</v>
      </c>
      <c r="D14" s="746"/>
      <c r="E14" s="746"/>
      <c r="F14" s="746"/>
      <c r="G14" s="747"/>
      <c r="H14" s="965" t="s">
        <v>139</v>
      </c>
      <c r="I14" s="966"/>
      <c r="J14" s="966"/>
      <c r="K14" s="966"/>
      <c r="L14" s="967"/>
      <c r="M14" s="963" t="s">
        <v>109</v>
      </c>
      <c r="N14" s="964"/>
      <c r="O14" s="957" t="s">
        <v>110</v>
      </c>
      <c r="P14" s="958"/>
      <c r="Q14" s="953" t="s">
        <v>129</v>
      </c>
    </row>
    <row r="15" spans="1:19" ht="70.5" customHeight="1" thickBot="1" x14ac:dyDescent="0.25">
      <c r="A15" s="960"/>
      <c r="B15" s="962"/>
      <c r="C15" s="259" t="s">
        <v>86</v>
      </c>
      <c r="D15" s="260" t="s">
        <v>134</v>
      </c>
      <c r="E15" s="260" t="s">
        <v>135</v>
      </c>
      <c r="F15" s="260" t="s">
        <v>87</v>
      </c>
      <c r="G15" s="261" t="s">
        <v>88</v>
      </c>
      <c r="H15" s="262" t="s">
        <v>86</v>
      </c>
      <c r="I15" s="263" t="s">
        <v>134</v>
      </c>
      <c r="J15" s="263" t="s">
        <v>135</v>
      </c>
      <c r="K15" s="263" t="s">
        <v>87</v>
      </c>
      <c r="L15" s="264" t="s">
        <v>88</v>
      </c>
      <c r="M15" s="265" t="s">
        <v>72</v>
      </c>
      <c r="N15" s="160" t="s">
        <v>85</v>
      </c>
      <c r="O15" s="266" t="s">
        <v>72</v>
      </c>
      <c r="P15" s="160" t="s">
        <v>85</v>
      </c>
      <c r="Q15" s="954"/>
    </row>
    <row r="16" spans="1:19" ht="12.75" customHeight="1" x14ac:dyDescent="0.2">
      <c r="A16" s="950" t="str">
        <f>'B) Reajuste Tarifas y Ocupación'!A12</f>
        <v>Jardín Infantil Olitas de Mar</v>
      </c>
      <c r="B16" s="267" t="str">
        <f>+'B) Reajuste Tarifas y Ocupación'!B12</f>
        <v>Media jornada</v>
      </c>
      <c r="C16" s="244">
        <f>+'B) Reajuste Tarifas y Ocupación'!M12</f>
        <v>61000</v>
      </c>
      <c r="D16" s="245">
        <f>+'B) Reajuste Tarifas y Ocupación'!N12</f>
        <v>82300</v>
      </c>
      <c r="E16" s="245">
        <f>+'B) Reajuste Tarifas y Ocupación'!O12</f>
        <v>85400</v>
      </c>
      <c r="F16" s="245">
        <f>+'B) Reajuste Tarifas y Ocupación'!P12</f>
        <v>92200</v>
      </c>
      <c r="G16" s="246">
        <f>+'B) Reajuste Tarifas y Ocupación'!Q12</f>
        <v>148000</v>
      </c>
      <c r="H16" s="270">
        <f t="shared" ref="H16:K17" si="0">IFERROR(C16/$Q16,0)</f>
        <v>0.23461538461538461</v>
      </c>
      <c r="I16" s="108">
        <f t="shared" si="0"/>
        <v>0.31653846153846155</v>
      </c>
      <c r="J16" s="108">
        <f t="shared" si="0"/>
        <v>0.32846153846153847</v>
      </c>
      <c r="K16" s="108">
        <f t="shared" si="0"/>
        <v>0.35461538461538461</v>
      </c>
      <c r="L16" s="109">
        <f t="shared" ref="L16" si="1">IFERROR(G16/$Q16,0)</f>
        <v>0.56923076923076921</v>
      </c>
      <c r="M16" s="698" t="s">
        <v>310</v>
      </c>
      <c r="N16" s="163">
        <v>320000</v>
      </c>
      <c r="O16" s="698" t="s">
        <v>312</v>
      </c>
      <c r="P16" s="163">
        <v>200000</v>
      </c>
      <c r="Q16" s="272">
        <f>AVERAGE(N16,P16)</f>
        <v>260000</v>
      </c>
      <c r="R16" s="19"/>
      <c r="S16" s="20"/>
    </row>
    <row r="17" spans="1:19" ht="12.75" customHeight="1" x14ac:dyDescent="0.2">
      <c r="A17" s="951"/>
      <c r="B17" s="268" t="str">
        <f>+'B) Reajuste Tarifas y Ocupación'!B13</f>
        <v>Media jornada Extendida</v>
      </c>
      <c r="C17" s="247">
        <f>+'B) Reajuste Tarifas y Ocupación'!M13</f>
        <v>69600</v>
      </c>
      <c r="D17" s="243">
        <f>+'B) Reajuste Tarifas y Ocupación'!N13</f>
        <v>93900</v>
      </c>
      <c r="E17" s="243">
        <f>+'B) Reajuste Tarifas y Ocupación'!O13</f>
        <v>97400</v>
      </c>
      <c r="F17" s="243">
        <f>+'B) Reajuste Tarifas y Ocupación'!P13</f>
        <v>131800</v>
      </c>
      <c r="G17" s="248">
        <f>+'B) Reajuste Tarifas y Ocupación'!Q13</f>
        <v>196400</v>
      </c>
      <c r="H17" s="111">
        <f t="shared" si="0"/>
        <v>0.24857142857142858</v>
      </c>
      <c r="I17" s="110">
        <f t="shared" si="0"/>
        <v>0.33535714285714285</v>
      </c>
      <c r="J17" s="110">
        <f t="shared" si="0"/>
        <v>0.34785714285714286</v>
      </c>
      <c r="K17" s="110">
        <f t="shared" si="0"/>
        <v>0.4707142857142857</v>
      </c>
      <c r="L17" s="271">
        <f t="shared" ref="L17" si="2">IFERROR(G17/$Q17,0)</f>
        <v>0.7014285714285714</v>
      </c>
      <c r="M17" s="699" t="s">
        <v>310</v>
      </c>
      <c r="N17" s="164">
        <v>340000</v>
      </c>
      <c r="O17" s="699" t="s">
        <v>312</v>
      </c>
      <c r="P17" s="164">
        <v>220000</v>
      </c>
      <c r="Q17" s="273">
        <f>AVERAGE(N17,P17)</f>
        <v>280000</v>
      </c>
      <c r="R17" s="19"/>
      <c r="S17" s="20"/>
    </row>
    <row r="18" spans="1:19" ht="13.5" thickBot="1" x14ac:dyDescent="0.25">
      <c r="A18" s="952"/>
      <c r="B18" s="269" t="str">
        <f>+'B) Reajuste Tarifas y Ocupación'!B14</f>
        <v>Jornada Completa</v>
      </c>
      <c r="C18" s="249">
        <f>+'B) Reajuste Tarifas y Ocupación'!M14</f>
        <v>109100</v>
      </c>
      <c r="D18" s="250">
        <f>+'B) Reajuste Tarifas y Ocupación'!N14</f>
        <v>147300</v>
      </c>
      <c r="E18" s="250">
        <f>+'B) Reajuste Tarifas y Ocupación'!O14</f>
        <v>152700</v>
      </c>
      <c r="F18" s="250">
        <f>+'B) Reajuste Tarifas y Ocupación'!P14</f>
        <v>168900</v>
      </c>
      <c r="G18" s="251">
        <f>+'B) Reajuste Tarifas y Ocupación'!Q14</f>
        <v>271400</v>
      </c>
      <c r="H18" s="166">
        <f t="shared" ref="H18:H19" si="3">IFERROR(C18/$Q18,0)</f>
        <v>0.32088235294117645</v>
      </c>
      <c r="I18" s="167">
        <f t="shared" ref="I18:I19" si="4">IFERROR(D18/$Q18,0)</f>
        <v>0.43323529411764705</v>
      </c>
      <c r="J18" s="167">
        <f t="shared" ref="J18:J19" si="5">IFERROR(E18/$Q18,0)</f>
        <v>0.44911764705882351</v>
      </c>
      <c r="K18" s="167">
        <f t="shared" ref="K18:K19" si="6">IFERROR(F18/$Q18,0)</f>
        <v>0.49676470588235294</v>
      </c>
      <c r="L18" s="168">
        <f t="shared" ref="L18:L19" si="7">IFERROR(G18/$Q18,0)</f>
        <v>0.79823529411764704</v>
      </c>
      <c r="M18" s="700" t="s">
        <v>310</v>
      </c>
      <c r="N18" s="165">
        <v>370000</v>
      </c>
      <c r="O18" s="700" t="s">
        <v>312</v>
      </c>
      <c r="P18" s="165">
        <v>310000</v>
      </c>
      <c r="Q18" s="274">
        <f t="shared" ref="Q18" si="8">AVERAGE(N18,P18)</f>
        <v>340000</v>
      </c>
      <c r="R18" s="19"/>
      <c r="S18" s="20"/>
    </row>
    <row r="19" spans="1:19" x14ac:dyDescent="0.2">
      <c r="A19" s="950" t="str">
        <f>'B) Reajuste Tarifas y Ocupación'!A15</f>
        <v>Sala Cuna Olitas de Mar</v>
      </c>
      <c r="B19" s="267" t="str">
        <f>+'B) Reajuste Tarifas y Ocupación'!B15</f>
        <v>Diurna</v>
      </c>
      <c r="C19" s="244">
        <f>+'B) Reajuste Tarifas y Ocupación'!M15</f>
        <v>347400</v>
      </c>
      <c r="D19" s="245">
        <f>+'B) Reajuste Tarifas y Ocupación'!N15</f>
        <v>469000</v>
      </c>
      <c r="E19" s="245">
        <f>+'B) Reajuste Tarifas y Ocupación'!O15</f>
        <v>486400</v>
      </c>
      <c r="F19" s="245">
        <f>+'B) Reajuste Tarifas y Ocupación'!P15</f>
        <v>434200</v>
      </c>
      <c r="G19" s="246">
        <f>+'B) Reajuste Tarifas y Ocupación'!Q15</f>
        <v>521100</v>
      </c>
      <c r="H19" s="270">
        <f t="shared" si="3"/>
        <v>0.91421052631578947</v>
      </c>
      <c r="I19" s="108">
        <f t="shared" si="4"/>
        <v>1.2342105263157894</v>
      </c>
      <c r="J19" s="108">
        <f t="shared" si="5"/>
        <v>1.28</v>
      </c>
      <c r="K19" s="108">
        <f t="shared" si="6"/>
        <v>1.1426315789473684</v>
      </c>
      <c r="L19" s="109">
        <f t="shared" si="7"/>
        <v>1.3713157894736843</v>
      </c>
      <c r="M19" s="698" t="s">
        <v>311</v>
      </c>
      <c r="N19" s="163">
        <v>380000</v>
      </c>
      <c r="O19" s="698" t="s">
        <v>313</v>
      </c>
      <c r="P19" s="163">
        <v>380000</v>
      </c>
      <c r="Q19" s="272">
        <f>AVERAGE(N19,P19)</f>
        <v>380000</v>
      </c>
    </row>
    <row r="20" spans="1:19" x14ac:dyDescent="0.2">
      <c r="A20" s="951"/>
      <c r="B20" s="268" t="str">
        <f>+'B) Reajuste Tarifas y Ocupación'!B16</f>
        <v>Nocturna</v>
      </c>
      <c r="C20" s="488"/>
      <c r="D20" s="489"/>
      <c r="E20" s="489"/>
      <c r="F20" s="489"/>
      <c r="G20" s="491"/>
      <c r="H20" s="494"/>
      <c r="I20" s="495"/>
      <c r="J20" s="495"/>
      <c r="K20" s="495"/>
      <c r="L20" s="496"/>
      <c r="M20" s="497"/>
      <c r="N20" s="498"/>
      <c r="O20" s="497"/>
      <c r="P20" s="498"/>
      <c r="Q20" s="499"/>
    </row>
    <row r="21" spans="1:19" ht="13.5" thickBot="1" x14ac:dyDescent="0.25">
      <c r="A21" s="952"/>
      <c r="B21" s="269" t="str">
        <f>+'B) Reajuste Tarifas y Ocupación'!B17</f>
        <v>Media Jornada</v>
      </c>
      <c r="C21" s="332">
        <f>+'B) Reajuste Tarifas y Ocupación'!M17</f>
        <v>208600</v>
      </c>
      <c r="D21" s="333">
        <f>+'B) Reajuste Tarifas y Ocupación'!N17</f>
        <v>281500</v>
      </c>
      <c r="E21" s="333">
        <f>+'B) Reajuste Tarifas y Ocupación'!O17</f>
        <v>292000</v>
      </c>
      <c r="F21" s="333">
        <f>+'B) Reajuste Tarifas y Ocupación'!P17</f>
        <v>312700</v>
      </c>
      <c r="G21" s="334">
        <f>+'B) Reajuste Tarifas y Ocupación'!Q17</f>
        <v>416900</v>
      </c>
      <c r="H21" s="336">
        <f t="shared" ref="H21" si="9">IFERROR(C21/$Q21,0)</f>
        <v>0</v>
      </c>
      <c r="I21" s="337">
        <f t="shared" ref="I21" si="10">IFERROR(D21/$Q21,0)</f>
        <v>0</v>
      </c>
      <c r="J21" s="337">
        <f t="shared" ref="J21" si="11">IFERROR(E21/$Q21,0)</f>
        <v>0</v>
      </c>
      <c r="K21" s="337">
        <f t="shared" ref="K21" si="12">IFERROR(F21/$Q21,0)</f>
        <v>0</v>
      </c>
      <c r="L21" s="342">
        <f t="shared" ref="L21" si="13">IFERROR(G21/$Q21,0)</f>
        <v>0</v>
      </c>
      <c r="M21" s="340"/>
      <c r="N21" s="341">
        <v>0</v>
      </c>
      <c r="O21" s="340"/>
      <c r="P21" s="341">
        <v>0</v>
      </c>
      <c r="Q21" s="274">
        <f t="shared" ref="Q21" si="14">AVERAGE(N21,P21)</f>
        <v>0</v>
      </c>
    </row>
  </sheetData>
  <sheetProtection algorithmName="SHA-512" hashValue="MeQU+TFEFubNtkjZlSGim4W8kEt7db4zpYNJsvm5g4GO1tf8KKWkSw1b8q17/hZxkWttaZPY6epclbN1i98Ftg==" saltValue="zNbo1ZjZdEautJOLo9WUXA==" spinCount="100000"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164"/>
  <sheetViews>
    <sheetView showGridLines="0" topLeftCell="A28" zoomScale="80" zoomScaleNormal="80" workbookViewId="0">
      <selection activeCell="H55" sqref="H55"/>
    </sheetView>
  </sheetViews>
  <sheetFormatPr baseColWidth="10" defaultColWidth="11.42578125" defaultRowHeight="12.75" x14ac:dyDescent="0.2"/>
  <cols>
    <col min="1" max="1" width="91.28515625" style="64" customWidth="1"/>
    <col min="2" max="2" width="20.42578125" style="64" customWidth="1"/>
    <col min="3" max="3" width="17.140625" style="64" customWidth="1"/>
    <col min="4" max="4" width="14.85546875" style="64" customWidth="1"/>
    <col min="5" max="5" width="16.5703125" style="64" customWidth="1"/>
    <col min="6" max="6" width="15.7109375" style="64" customWidth="1"/>
    <col min="7" max="7" width="24.42578125" style="64" customWidth="1"/>
    <col min="8" max="9" width="11.42578125" style="64"/>
    <col min="10" max="11" width="13.28515625" style="64" customWidth="1"/>
    <col min="12" max="16384" width="11.42578125" style="64"/>
  </cols>
  <sheetData>
    <row r="1" spans="1:16" x14ac:dyDescent="0.2">
      <c r="J1" s="186"/>
      <c r="K1" s="189"/>
    </row>
    <row r="2" spans="1:16" x14ac:dyDescent="0.2">
      <c r="J2" s="186" t="s">
        <v>197</v>
      </c>
      <c r="K2" s="189"/>
    </row>
    <row r="4" spans="1:16" ht="19.5" customHeight="1" x14ac:dyDescent="0.2">
      <c r="I4" s="187" t="s">
        <v>0</v>
      </c>
      <c r="J4" s="906" t="str">
        <f>+'B) Reajuste Tarifas y Ocupación'!F5</f>
        <v>(DEPTO./DELEG.)</v>
      </c>
      <c r="K4" s="907"/>
    </row>
    <row r="6" spans="1:16" ht="12.75" customHeight="1" x14ac:dyDescent="0.2">
      <c r="A6" s="188" t="s">
        <v>122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x14ac:dyDescent="0.2">
      <c r="A9" s="65"/>
      <c r="B9" s="65"/>
      <c r="C9" s="65"/>
      <c r="D9" s="65"/>
      <c r="E9" s="65"/>
      <c r="F9" s="65"/>
      <c r="G9" s="65"/>
      <c r="H9" s="65"/>
      <c r="I9" s="65"/>
    </row>
    <row r="15" spans="1:16" x14ac:dyDescent="0.2">
      <c r="A15" s="703" t="s">
        <v>316</v>
      </c>
    </row>
    <row r="17" spans="1:7" x14ac:dyDescent="0.2">
      <c r="A17" s="825" t="s">
        <v>76</v>
      </c>
      <c r="B17" s="820" t="s">
        <v>77</v>
      </c>
      <c r="C17" s="819" t="s">
        <v>78</v>
      </c>
      <c r="D17" s="819"/>
      <c r="E17" s="819"/>
      <c r="F17" s="821" t="s">
        <v>264</v>
      </c>
    </row>
    <row r="18" spans="1:7" ht="25.5" x14ac:dyDescent="0.2">
      <c r="A18" s="826"/>
      <c r="B18" s="820"/>
      <c r="C18" s="183" t="s">
        <v>67</v>
      </c>
      <c r="D18" s="184" t="s">
        <v>68</v>
      </c>
      <c r="E18" s="693" t="s">
        <v>6</v>
      </c>
      <c r="F18" s="822"/>
    </row>
    <row r="19" spans="1:7" x14ac:dyDescent="0.2">
      <c r="A19" s="378" t="s">
        <v>11</v>
      </c>
      <c r="B19" s="387">
        <v>65813844.999999993</v>
      </c>
      <c r="C19" s="388"/>
      <c r="D19" s="388"/>
      <c r="E19" s="389">
        <v>19020960</v>
      </c>
      <c r="F19" s="390">
        <v>84834805</v>
      </c>
    </row>
    <row r="20" spans="1:7" x14ac:dyDescent="0.2">
      <c r="A20" s="381" t="s">
        <v>12</v>
      </c>
      <c r="B20" s="391">
        <v>59434660.999999993</v>
      </c>
      <c r="C20" s="392"/>
      <c r="D20" s="392"/>
      <c r="E20" s="393">
        <v>0</v>
      </c>
      <c r="F20" s="296">
        <v>59434660.999999993</v>
      </c>
    </row>
    <row r="21" spans="1:7" x14ac:dyDescent="0.2">
      <c r="A21" s="375" t="s">
        <v>95</v>
      </c>
      <c r="B21" s="394">
        <v>58843880.999999993</v>
      </c>
      <c r="C21" s="395">
        <v>0</v>
      </c>
      <c r="D21" s="396">
        <v>0</v>
      </c>
      <c r="E21" s="395">
        <v>0</v>
      </c>
      <c r="F21" s="397">
        <v>58843880.999999993</v>
      </c>
    </row>
    <row r="22" spans="1:7" x14ac:dyDescent="0.2">
      <c r="A22" s="375" t="s">
        <v>168</v>
      </c>
      <c r="B22" s="398">
        <v>0</v>
      </c>
      <c r="C22" s="399">
        <v>0</v>
      </c>
      <c r="D22" s="400">
        <v>0</v>
      </c>
      <c r="E22" s="395">
        <v>0</v>
      </c>
      <c r="F22" s="397">
        <v>0</v>
      </c>
    </row>
    <row r="23" spans="1:7" x14ac:dyDescent="0.2">
      <c r="A23" s="299" t="s">
        <v>169</v>
      </c>
      <c r="B23" s="398">
        <v>590780</v>
      </c>
      <c r="C23" s="399">
        <v>0</v>
      </c>
      <c r="D23" s="400">
        <v>0</v>
      </c>
      <c r="E23" s="395">
        <v>0</v>
      </c>
      <c r="F23" s="397">
        <v>590780</v>
      </c>
    </row>
    <row r="24" spans="1:7" x14ac:dyDescent="0.2">
      <c r="A24" s="375" t="s">
        <v>170</v>
      </c>
      <c r="B24" s="398">
        <v>0</v>
      </c>
      <c r="C24" s="399">
        <v>0</v>
      </c>
      <c r="D24" s="400">
        <v>0</v>
      </c>
      <c r="E24" s="395">
        <v>0</v>
      </c>
      <c r="F24" s="397">
        <v>0</v>
      </c>
    </row>
    <row r="25" spans="1:7" x14ac:dyDescent="0.2">
      <c r="A25" s="381" t="s">
        <v>16</v>
      </c>
      <c r="B25" s="391">
        <v>6379184</v>
      </c>
      <c r="C25" s="392"/>
      <c r="D25" s="392"/>
      <c r="E25" s="391">
        <v>19020960</v>
      </c>
      <c r="F25" s="296">
        <v>25400144</v>
      </c>
    </row>
    <row r="26" spans="1:7" x14ac:dyDescent="0.2">
      <c r="A26" s="401" t="s">
        <v>171</v>
      </c>
      <c r="B26" s="398">
        <v>0</v>
      </c>
      <c r="C26" s="399">
        <v>2058</v>
      </c>
      <c r="D26" s="400">
        <f>+(20*7)*12</f>
        <v>1680</v>
      </c>
      <c r="E26" s="395">
        <v>3457440</v>
      </c>
      <c r="F26" s="397">
        <v>3457440</v>
      </c>
      <c r="G26" s="64" t="s">
        <v>317</v>
      </c>
    </row>
    <row r="27" spans="1:7" x14ac:dyDescent="0.2">
      <c r="A27" s="401" t="s">
        <v>172</v>
      </c>
      <c r="B27" s="398">
        <v>0</v>
      </c>
      <c r="C27" s="399">
        <v>1196</v>
      </c>
      <c r="D27" s="400">
        <f>+(60*20)*10+(30*20)</f>
        <v>12600</v>
      </c>
      <c r="E27" s="395">
        <v>15069600</v>
      </c>
      <c r="F27" s="397">
        <v>15069600</v>
      </c>
      <c r="G27" s="64" t="s">
        <v>318</v>
      </c>
    </row>
    <row r="28" spans="1:7" x14ac:dyDescent="0.2">
      <c r="A28" s="401" t="s">
        <v>173</v>
      </c>
      <c r="B28" s="398">
        <v>0</v>
      </c>
      <c r="C28" s="399">
        <v>2058</v>
      </c>
      <c r="D28" s="400">
        <f>+(2*20)*6</f>
        <v>240</v>
      </c>
      <c r="E28" s="395">
        <v>493920</v>
      </c>
      <c r="F28" s="397">
        <v>493920</v>
      </c>
      <c r="G28" s="64" t="s">
        <v>319</v>
      </c>
    </row>
    <row r="29" spans="1:7" x14ac:dyDescent="0.2">
      <c r="A29" s="375" t="s">
        <v>174</v>
      </c>
      <c r="B29" s="402">
        <v>201560</v>
      </c>
      <c r="C29" s="402">
        <v>0</v>
      </c>
      <c r="D29" s="403">
        <v>0</v>
      </c>
      <c r="E29" s="395">
        <v>0</v>
      </c>
      <c r="F29" s="397">
        <v>201560</v>
      </c>
    </row>
    <row r="30" spans="1:7" x14ac:dyDescent="0.2">
      <c r="A30" s="375" t="s">
        <v>19</v>
      </c>
      <c r="B30" s="395">
        <v>95600</v>
      </c>
      <c r="C30" s="395">
        <v>0</v>
      </c>
      <c r="D30" s="403">
        <v>0</v>
      </c>
      <c r="E30" s="395">
        <v>0</v>
      </c>
      <c r="F30" s="397">
        <v>95600</v>
      </c>
    </row>
    <row r="31" spans="1:7" x14ac:dyDescent="0.2">
      <c r="A31" s="375" t="s">
        <v>175</v>
      </c>
      <c r="B31" s="395">
        <v>137360</v>
      </c>
      <c r="C31" s="395">
        <v>0</v>
      </c>
      <c r="D31" s="403">
        <v>0</v>
      </c>
      <c r="E31" s="395">
        <v>0</v>
      </c>
      <c r="F31" s="397">
        <v>137360</v>
      </c>
    </row>
    <row r="32" spans="1:7" x14ac:dyDescent="0.2">
      <c r="A32" s="375" t="s">
        <v>210</v>
      </c>
      <c r="B32" s="395">
        <v>68800</v>
      </c>
      <c r="C32" s="395">
        <v>0</v>
      </c>
      <c r="D32" s="403">
        <v>0</v>
      </c>
      <c r="E32" s="395">
        <v>0</v>
      </c>
      <c r="F32" s="397">
        <v>68800</v>
      </c>
    </row>
    <row r="33" spans="1:7" x14ac:dyDescent="0.2">
      <c r="A33" s="375" t="s">
        <v>22</v>
      </c>
      <c r="B33" s="395">
        <v>0</v>
      </c>
      <c r="C33" s="395">
        <v>0</v>
      </c>
      <c r="D33" s="403">
        <v>0</v>
      </c>
      <c r="E33" s="395">
        <v>0</v>
      </c>
      <c r="F33" s="397">
        <v>0</v>
      </c>
    </row>
    <row r="34" spans="1:7" x14ac:dyDescent="0.2">
      <c r="A34" s="375" t="s">
        <v>177</v>
      </c>
      <c r="B34" s="395">
        <v>0</v>
      </c>
      <c r="C34" s="395">
        <v>0</v>
      </c>
      <c r="D34" s="403">
        <v>0</v>
      </c>
      <c r="E34" s="395">
        <v>0</v>
      </c>
      <c r="F34" s="397">
        <v>0</v>
      </c>
    </row>
    <row r="35" spans="1:7" x14ac:dyDescent="0.2">
      <c r="A35" s="375" t="s">
        <v>24</v>
      </c>
      <c r="B35" s="395">
        <v>1230720</v>
      </c>
      <c r="C35" s="395">
        <v>0</v>
      </c>
      <c r="D35" s="403">
        <v>0</v>
      </c>
      <c r="E35" s="395">
        <v>0</v>
      </c>
      <c r="F35" s="397">
        <v>1230720</v>
      </c>
    </row>
    <row r="36" spans="1:7" x14ac:dyDescent="0.2">
      <c r="A36" s="375" t="s">
        <v>25</v>
      </c>
      <c r="B36" s="395">
        <v>1345400</v>
      </c>
      <c r="C36" s="395">
        <v>0</v>
      </c>
      <c r="D36" s="403">
        <v>0</v>
      </c>
      <c r="E36" s="395">
        <v>0</v>
      </c>
      <c r="F36" s="397">
        <v>1345400</v>
      </c>
    </row>
    <row r="37" spans="1:7" x14ac:dyDescent="0.2">
      <c r="A37" s="375" t="s">
        <v>26</v>
      </c>
      <c r="B37" s="395">
        <v>1610936</v>
      </c>
      <c r="C37" s="395">
        <v>0</v>
      </c>
      <c r="D37" s="403">
        <v>0</v>
      </c>
      <c r="E37" s="395">
        <v>0</v>
      </c>
      <c r="F37" s="397">
        <v>1610936</v>
      </c>
    </row>
    <row r="38" spans="1:7" x14ac:dyDescent="0.2">
      <c r="A38" s="375" t="s">
        <v>27</v>
      </c>
      <c r="B38" s="395">
        <v>0</v>
      </c>
      <c r="C38" s="395">
        <v>0</v>
      </c>
      <c r="D38" s="403">
        <v>0</v>
      </c>
      <c r="E38" s="395">
        <v>0</v>
      </c>
      <c r="F38" s="397">
        <v>0</v>
      </c>
    </row>
    <row r="39" spans="1:7" x14ac:dyDescent="0.2">
      <c r="A39" s="375" t="s">
        <v>29</v>
      </c>
      <c r="B39" s="395">
        <v>298168</v>
      </c>
      <c r="C39" s="395">
        <v>0</v>
      </c>
      <c r="D39" s="403">
        <v>0</v>
      </c>
      <c r="E39" s="395">
        <v>0</v>
      </c>
      <c r="F39" s="397">
        <v>298168</v>
      </c>
    </row>
    <row r="40" spans="1:7" x14ac:dyDescent="0.2">
      <c r="A40" s="375" t="s">
        <v>30</v>
      </c>
      <c r="B40" s="395">
        <v>0</v>
      </c>
      <c r="C40" s="395">
        <v>0</v>
      </c>
      <c r="D40" s="403">
        <v>0</v>
      </c>
      <c r="E40" s="395">
        <v>0</v>
      </c>
      <c r="F40" s="397">
        <v>0</v>
      </c>
    </row>
    <row r="41" spans="1:7" x14ac:dyDescent="0.2">
      <c r="A41" s="375" t="s">
        <v>31</v>
      </c>
      <c r="B41" s="395">
        <v>0</v>
      </c>
      <c r="C41" s="395">
        <v>0</v>
      </c>
      <c r="D41" s="403">
        <v>0</v>
      </c>
      <c r="E41" s="395">
        <v>0</v>
      </c>
      <c r="F41" s="397">
        <v>0</v>
      </c>
    </row>
    <row r="42" spans="1:7" x14ac:dyDescent="0.2">
      <c r="A42" s="375" t="s">
        <v>178</v>
      </c>
      <c r="B42" s="395">
        <v>0</v>
      </c>
      <c r="C42" s="395">
        <v>0</v>
      </c>
      <c r="D42" s="403">
        <v>0</v>
      </c>
      <c r="E42" s="395">
        <v>0</v>
      </c>
      <c r="F42" s="397">
        <v>0</v>
      </c>
    </row>
    <row r="43" spans="1:7" x14ac:dyDescent="0.2">
      <c r="A43" s="375" t="s">
        <v>32</v>
      </c>
      <c r="B43" s="395">
        <v>0</v>
      </c>
      <c r="C43" s="395">
        <v>0</v>
      </c>
      <c r="D43" s="403">
        <v>0</v>
      </c>
      <c r="E43" s="395">
        <v>0</v>
      </c>
      <c r="F43" s="397">
        <v>0</v>
      </c>
    </row>
    <row r="44" spans="1:7" x14ac:dyDescent="0.2">
      <c r="A44" s="375" t="s">
        <v>179</v>
      </c>
      <c r="B44" s="395">
        <v>1390640</v>
      </c>
      <c r="C44" s="395">
        <v>0</v>
      </c>
      <c r="D44" s="403">
        <v>0</v>
      </c>
      <c r="E44" s="395">
        <v>0</v>
      </c>
      <c r="F44" s="397">
        <v>1390640</v>
      </c>
    </row>
    <row r="45" spans="1:7" x14ac:dyDescent="0.2">
      <c r="A45" s="375" t="s">
        <v>180</v>
      </c>
      <c r="B45" s="395">
        <v>0</v>
      </c>
      <c r="C45" s="395">
        <v>0</v>
      </c>
      <c r="D45" s="403">
        <v>0</v>
      </c>
      <c r="E45" s="395">
        <v>0</v>
      </c>
      <c r="F45" s="397">
        <v>0</v>
      </c>
    </row>
    <row r="46" spans="1:7" x14ac:dyDescent="0.2">
      <c r="A46" s="378" t="s">
        <v>34</v>
      </c>
      <c r="B46" s="300">
        <v>4921892</v>
      </c>
      <c r="C46" s="404"/>
      <c r="D46" s="404"/>
      <c r="E46" s="300">
        <v>820580</v>
      </c>
      <c r="F46" s="300">
        <v>5742472</v>
      </c>
    </row>
    <row r="47" spans="1:7" x14ac:dyDescent="0.2">
      <c r="A47" s="381" t="s">
        <v>35</v>
      </c>
      <c r="B47" s="391">
        <v>163144</v>
      </c>
      <c r="C47" s="392"/>
      <c r="D47" s="392"/>
      <c r="E47" s="391">
        <v>234680</v>
      </c>
      <c r="F47" s="391">
        <v>397824</v>
      </c>
    </row>
    <row r="48" spans="1:7" x14ac:dyDescent="0.2">
      <c r="A48" s="375" t="s">
        <v>181</v>
      </c>
      <c r="B48" s="398">
        <v>0</v>
      </c>
      <c r="C48" s="399">
        <v>28620</v>
      </c>
      <c r="D48" s="493">
        <v>7</v>
      </c>
      <c r="E48" s="395">
        <v>200340</v>
      </c>
      <c r="F48" s="397">
        <v>200340</v>
      </c>
      <c r="G48" s="64" t="s">
        <v>320</v>
      </c>
    </row>
    <row r="49" spans="1:7" x14ac:dyDescent="0.2">
      <c r="A49" s="375" t="s">
        <v>182</v>
      </c>
      <c r="B49" s="398">
        <v>0</v>
      </c>
      <c r="C49" s="399">
        <v>34340</v>
      </c>
      <c r="D49" s="493">
        <v>1</v>
      </c>
      <c r="E49" s="395">
        <v>34340</v>
      </c>
      <c r="F49" s="397">
        <v>34340</v>
      </c>
      <c r="G49" s="64" t="s">
        <v>325</v>
      </c>
    </row>
    <row r="50" spans="1:7" x14ac:dyDescent="0.2">
      <c r="A50" s="375" t="s">
        <v>41</v>
      </c>
      <c r="B50" s="405">
        <v>0</v>
      </c>
      <c r="C50" s="405">
        <v>0</v>
      </c>
      <c r="D50" s="406">
        <v>0</v>
      </c>
      <c r="E50" s="395">
        <v>0</v>
      </c>
      <c r="F50" s="397">
        <v>0</v>
      </c>
    </row>
    <row r="51" spans="1:7" x14ac:dyDescent="0.2">
      <c r="A51" s="375" t="s">
        <v>183</v>
      </c>
      <c r="B51" s="405">
        <v>163144</v>
      </c>
      <c r="C51" s="405">
        <v>0</v>
      </c>
      <c r="D51" s="406">
        <v>0</v>
      </c>
      <c r="E51" s="395">
        <v>0</v>
      </c>
      <c r="F51" s="397">
        <v>163144</v>
      </c>
    </row>
    <row r="52" spans="1:7" x14ac:dyDescent="0.2">
      <c r="A52" s="381" t="s">
        <v>42</v>
      </c>
      <c r="B52" s="391">
        <v>0</v>
      </c>
      <c r="C52" s="392"/>
      <c r="D52" s="392"/>
      <c r="E52" s="407">
        <v>0</v>
      </c>
      <c r="F52" s="408">
        <v>0</v>
      </c>
    </row>
    <row r="53" spans="1:7" x14ac:dyDescent="0.2">
      <c r="A53" s="375" t="s">
        <v>44</v>
      </c>
      <c r="B53" s="405">
        <v>0</v>
      </c>
      <c r="C53" s="405">
        <v>0</v>
      </c>
      <c r="D53" s="406">
        <v>0</v>
      </c>
      <c r="E53" s="395">
        <v>0</v>
      </c>
      <c r="F53" s="397">
        <v>0</v>
      </c>
    </row>
    <row r="54" spans="1:7" x14ac:dyDescent="0.2">
      <c r="A54" s="381" t="s">
        <v>45</v>
      </c>
      <c r="B54" s="391">
        <v>1808992</v>
      </c>
      <c r="C54" s="392"/>
      <c r="D54" s="392"/>
      <c r="E54" s="391">
        <v>0</v>
      </c>
      <c r="F54" s="296">
        <v>1808992</v>
      </c>
    </row>
    <row r="55" spans="1:7" x14ac:dyDescent="0.2">
      <c r="A55" s="375" t="s">
        <v>47</v>
      </c>
      <c r="B55" s="405">
        <v>956000</v>
      </c>
      <c r="C55" s="405">
        <v>0</v>
      </c>
      <c r="D55" s="406">
        <v>0</v>
      </c>
      <c r="E55" s="405">
        <v>0</v>
      </c>
      <c r="F55" s="397">
        <v>956000</v>
      </c>
    </row>
    <row r="56" spans="1:7" x14ac:dyDescent="0.2">
      <c r="A56" s="375" t="s">
        <v>211</v>
      </c>
      <c r="B56" s="405">
        <v>120000</v>
      </c>
      <c r="C56" s="405">
        <v>0</v>
      </c>
      <c r="D56" s="406">
        <v>0</v>
      </c>
      <c r="E56" s="405">
        <v>0</v>
      </c>
      <c r="F56" s="397">
        <v>120000</v>
      </c>
    </row>
    <row r="57" spans="1:7" x14ac:dyDescent="0.2">
      <c r="A57" s="375" t="s">
        <v>49</v>
      </c>
      <c r="B57" s="405">
        <v>80000</v>
      </c>
      <c r="C57" s="405">
        <v>0</v>
      </c>
      <c r="D57" s="406">
        <v>0</v>
      </c>
      <c r="E57" s="405">
        <v>0</v>
      </c>
      <c r="F57" s="397">
        <v>80000</v>
      </c>
    </row>
    <row r="58" spans="1:7" x14ac:dyDescent="0.2">
      <c r="A58" s="375" t="s">
        <v>50</v>
      </c>
      <c r="B58" s="405">
        <v>0</v>
      </c>
      <c r="C58" s="405">
        <v>0</v>
      </c>
      <c r="D58" s="406">
        <v>0</v>
      </c>
      <c r="E58" s="405">
        <v>0</v>
      </c>
      <c r="F58" s="397">
        <v>0</v>
      </c>
    </row>
    <row r="59" spans="1:7" x14ac:dyDescent="0.2">
      <c r="A59" s="375" t="s">
        <v>51</v>
      </c>
      <c r="B59" s="405">
        <v>0</v>
      </c>
      <c r="C59" s="405">
        <v>0</v>
      </c>
      <c r="D59" s="406">
        <v>0</v>
      </c>
      <c r="E59" s="405">
        <v>0</v>
      </c>
      <c r="F59" s="397">
        <v>0</v>
      </c>
    </row>
    <row r="60" spans="1:7" x14ac:dyDescent="0.2">
      <c r="A60" s="375" t="s">
        <v>52</v>
      </c>
      <c r="B60" s="409">
        <v>240000</v>
      </c>
      <c r="C60" s="409">
        <v>0</v>
      </c>
      <c r="D60" s="406">
        <v>0</v>
      </c>
      <c r="E60" s="405">
        <v>0</v>
      </c>
      <c r="F60" s="397">
        <v>240000</v>
      </c>
    </row>
    <row r="61" spans="1:7" x14ac:dyDescent="0.2">
      <c r="A61" s="375" t="s">
        <v>184</v>
      </c>
      <c r="B61" s="409">
        <v>0</v>
      </c>
      <c r="C61" s="409">
        <v>0</v>
      </c>
      <c r="D61" s="406">
        <v>0</v>
      </c>
      <c r="E61" s="405">
        <v>0</v>
      </c>
      <c r="F61" s="397">
        <v>0</v>
      </c>
    </row>
    <row r="62" spans="1:7" x14ac:dyDescent="0.2">
      <c r="A62" s="375" t="s">
        <v>176</v>
      </c>
      <c r="B62" s="405">
        <v>412992</v>
      </c>
      <c r="C62" s="405">
        <v>0</v>
      </c>
      <c r="D62" s="406">
        <v>0</v>
      </c>
      <c r="E62" s="405">
        <v>0</v>
      </c>
      <c r="F62" s="397">
        <v>412992</v>
      </c>
    </row>
    <row r="63" spans="1:7" x14ac:dyDescent="0.2">
      <c r="A63" s="381" t="s">
        <v>55</v>
      </c>
      <c r="B63" s="391">
        <v>2229756</v>
      </c>
      <c r="C63" s="392"/>
      <c r="D63" s="392"/>
      <c r="E63" s="391">
        <v>508400</v>
      </c>
      <c r="F63" s="296">
        <v>2738156</v>
      </c>
    </row>
    <row r="64" spans="1:7" x14ac:dyDescent="0.2">
      <c r="A64" s="375" t="s">
        <v>56</v>
      </c>
      <c r="B64" s="405">
        <v>0</v>
      </c>
      <c r="C64" s="405">
        <v>0</v>
      </c>
      <c r="D64" s="406">
        <v>0</v>
      </c>
      <c r="E64" s="405">
        <v>0</v>
      </c>
      <c r="F64" s="397">
        <v>0</v>
      </c>
    </row>
    <row r="65" spans="1:7" x14ac:dyDescent="0.2">
      <c r="A65" s="375" t="s">
        <v>57</v>
      </c>
      <c r="B65" s="405">
        <v>0</v>
      </c>
      <c r="C65" s="405">
        <v>0</v>
      </c>
      <c r="D65" s="406">
        <v>0</v>
      </c>
      <c r="E65" s="405">
        <v>0</v>
      </c>
      <c r="F65" s="397">
        <v>0</v>
      </c>
    </row>
    <row r="66" spans="1:7" x14ac:dyDescent="0.2">
      <c r="A66" s="375" t="s">
        <v>167</v>
      </c>
      <c r="B66" s="405">
        <v>0</v>
      </c>
      <c r="C66" s="405">
        <v>0</v>
      </c>
      <c r="D66" s="406">
        <v>0</v>
      </c>
      <c r="E66" s="405">
        <v>0</v>
      </c>
      <c r="F66" s="397">
        <v>0</v>
      </c>
    </row>
    <row r="67" spans="1:7" x14ac:dyDescent="0.2">
      <c r="A67" s="375" t="s">
        <v>185</v>
      </c>
      <c r="B67" s="405">
        <v>344160</v>
      </c>
      <c r="C67" s="405">
        <v>0</v>
      </c>
      <c r="D67" s="406">
        <v>0</v>
      </c>
      <c r="E67" s="405">
        <v>0</v>
      </c>
      <c r="F67" s="397">
        <v>344160</v>
      </c>
    </row>
    <row r="68" spans="1:7" x14ac:dyDescent="0.2">
      <c r="A68" s="375" t="s">
        <v>187</v>
      </c>
      <c r="B68" s="667">
        <v>0</v>
      </c>
      <c r="C68" s="667">
        <v>8200</v>
      </c>
      <c r="D68" s="668">
        <v>62</v>
      </c>
      <c r="E68" s="669">
        <v>508400</v>
      </c>
      <c r="F68" s="670">
        <v>508400</v>
      </c>
    </row>
    <row r="69" spans="1:7" x14ac:dyDescent="0.2">
      <c r="A69" s="375" t="s">
        <v>188</v>
      </c>
      <c r="B69" s="395">
        <v>0</v>
      </c>
      <c r="C69" s="395">
        <v>0</v>
      </c>
      <c r="D69" s="403">
        <v>0</v>
      </c>
      <c r="E69" s="395">
        <v>0</v>
      </c>
      <c r="F69" s="397">
        <v>0</v>
      </c>
    </row>
    <row r="70" spans="1:7" x14ac:dyDescent="0.2">
      <c r="A70" s="375" t="s">
        <v>186</v>
      </c>
      <c r="B70" s="395">
        <v>137360</v>
      </c>
      <c r="C70" s="395">
        <v>0</v>
      </c>
      <c r="D70" s="403">
        <v>0</v>
      </c>
      <c r="E70" s="395">
        <v>0</v>
      </c>
      <c r="F70" s="397">
        <v>137360</v>
      </c>
    </row>
    <row r="71" spans="1:7" x14ac:dyDescent="0.2">
      <c r="A71" s="375" t="s">
        <v>64</v>
      </c>
      <c r="B71" s="395">
        <v>1748236</v>
      </c>
      <c r="C71" s="395">
        <v>0</v>
      </c>
      <c r="D71" s="403">
        <v>0</v>
      </c>
      <c r="E71" s="395">
        <v>0</v>
      </c>
      <c r="F71" s="397">
        <v>1748236</v>
      </c>
    </row>
    <row r="72" spans="1:7" x14ac:dyDescent="0.2">
      <c r="A72" s="381" t="s">
        <v>65</v>
      </c>
      <c r="B72" s="391">
        <v>720000</v>
      </c>
      <c r="C72" s="392"/>
      <c r="D72" s="392"/>
      <c r="E72" s="391">
        <v>0</v>
      </c>
      <c r="F72" s="296">
        <v>720000</v>
      </c>
    </row>
    <row r="73" spans="1:7" x14ac:dyDescent="0.2">
      <c r="A73" s="375" t="s">
        <v>99</v>
      </c>
      <c r="B73" s="405">
        <v>0</v>
      </c>
      <c r="C73" s="405">
        <v>0</v>
      </c>
      <c r="D73" s="406">
        <v>0</v>
      </c>
      <c r="E73" s="395">
        <v>0</v>
      </c>
      <c r="F73" s="397">
        <v>0</v>
      </c>
    </row>
    <row r="74" spans="1:7" x14ac:dyDescent="0.2">
      <c r="A74" s="375" t="s">
        <v>100</v>
      </c>
      <c r="B74" s="405">
        <v>0</v>
      </c>
      <c r="C74" s="405">
        <v>0</v>
      </c>
      <c r="D74" s="406">
        <v>0</v>
      </c>
      <c r="E74" s="395">
        <v>0</v>
      </c>
      <c r="F74" s="397">
        <v>0</v>
      </c>
    </row>
    <row r="75" spans="1:7" x14ac:dyDescent="0.2">
      <c r="A75" s="375" t="s">
        <v>189</v>
      </c>
      <c r="B75" s="405">
        <v>320000</v>
      </c>
      <c r="C75" s="405">
        <v>0</v>
      </c>
      <c r="D75" s="406">
        <v>0</v>
      </c>
      <c r="E75" s="395">
        <v>0</v>
      </c>
      <c r="F75" s="397">
        <v>320000</v>
      </c>
    </row>
    <row r="76" spans="1:7" x14ac:dyDescent="0.2">
      <c r="A76" s="375" t="s">
        <v>102</v>
      </c>
      <c r="B76" s="405">
        <v>0</v>
      </c>
      <c r="C76" s="405">
        <v>0</v>
      </c>
      <c r="D76" s="406">
        <v>0</v>
      </c>
      <c r="E76" s="395">
        <v>0</v>
      </c>
      <c r="F76" s="397">
        <v>0</v>
      </c>
    </row>
    <row r="77" spans="1:7" x14ac:dyDescent="0.2">
      <c r="A77" s="375" t="s">
        <v>190</v>
      </c>
      <c r="B77" s="405">
        <v>0</v>
      </c>
      <c r="C77" s="405">
        <v>0</v>
      </c>
      <c r="D77" s="406">
        <v>0</v>
      </c>
      <c r="E77" s="395">
        <v>0</v>
      </c>
      <c r="F77" s="397">
        <v>0</v>
      </c>
    </row>
    <row r="78" spans="1:7" x14ac:dyDescent="0.2">
      <c r="A78" s="375" t="s">
        <v>104</v>
      </c>
      <c r="B78" s="405">
        <v>400000</v>
      </c>
      <c r="C78" s="405">
        <v>0</v>
      </c>
      <c r="D78" s="406">
        <v>0</v>
      </c>
      <c r="E78" s="395">
        <v>0</v>
      </c>
      <c r="F78" s="397">
        <v>400000</v>
      </c>
      <c r="G78" s="64" t="s">
        <v>322</v>
      </c>
    </row>
    <row r="79" spans="1:7" x14ac:dyDescent="0.2">
      <c r="A79" s="375" t="s">
        <v>212</v>
      </c>
      <c r="B79" s="405">
        <v>0</v>
      </c>
      <c r="C79" s="405">
        <v>0</v>
      </c>
      <c r="D79" s="406">
        <v>0</v>
      </c>
      <c r="E79" s="395">
        <v>0</v>
      </c>
      <c r="F79" s="397">
        <v>0</v>
      </c>
    </row>
    <row r="80" spans="1:7" x14ac:dyDescent="0.2">
      <c r="A80" s="381" t="s">
        <v>66</v>
      </c>
      <c r="B80" s="391">
        <v>0</v>
      </c>
      <c r="C80" s="392"/>
      <c r="D80" s="392"/>
      <c r="E80" s="391">
        <v>77500</v>
      </c>
      <c r="F80" s="296">
        <v>77500</v>
      </c>
    </row>
    <row r="81" spans="1:7" x14ac:dyDescent="0.2">
      <c r="A81" s="411" t="s">
        <v>213</v>
      </c>
      <c r="B81" s="398">
        <v>0</v>
      </c>
      <c r="C81" s="398">
        <v>1250</v>
      </c>
      <c r="D81" s="493">
        <v>62</v>
      </c>
      <c r="E81" s="395">
        <v>77500</v>
      </c>
      <c r="F81" s="412">
        <v>77500</v>
      </c>
    </row>
    <row r="82" spans="1:7" x14ac:dyDescent="0.2">
      <c r="A82" s="416" t="s">
        <v>105</v>
      </c>
      <c r="B82" s="417">
        <v>70735737</v>
      </c>
      <c r="C82" s="418"/>
      <c r="D82" s="418"/>
      <c r="E82" s="417">
        <v>19841540</v>
      </c>
      <c r="F82" s="419">
        <v>90577277</v>
      </c>
    </row>
    <row r="89" spans="1:7" x14ac:dyDescent="0.2">
      <c r="A89" s="378" t="s">
        <v>11</v>
      </c>
      <c r="B89" s="387">
        <f>SUM(B90+B95)</f>
        <v>28381184.079999998</v>
      </c>
      <c r="C89" s="388"/>
      <c r="D89" s="388"/>
      <c r="E89" s="389">
        <f>SUM(E90,E95)</f>
        <v>4599120</v>
      </c>
      <c r="F89" s="390">
        <f>SUM(F90,F95)</f>
        <v>31385508.079999998</v>
      </c>
    </row>
    <row r="90" spans="1:7" x14ac:dyDescent="0.2">
      <c r="A90" s="381" t="s">
        <v>12</v>
      </c>
      <c r="B90" s="391">
        <f>SUM(B91:B94)</f>
        <v>26786388.079999998</v>
      </c>
      <c r="C90" s="392"/>
      <c r="D90" s="392"/>
      <c r="E90" s="393">
        <f>SUM(E91:E94)</f>
        <v>0</v>
      </c>
      <c r="F90" s="296">
        <f>SUM(F91:F94)</f>
        <v>26786388.079999998</v>
      </c>
    </row>
    <row r="91" spans="1:7" x14ac:dyDescent="0.2">
      <c r="A91" s="375" t="s">
        <v>95</v>
      </c>
      <c r="B91" s="394">
        <v>26556388.079999998</v>
      </c>
      <c r="C91" s="395">
        <v>0</v>
      </c>
      <c r="D91" s="396">
        <v>0</v>
      </c>
      <c r="E91" s="395">
        <v>0</v>
      </c>
      <c r="F91" s="397">
        <f>B91+E91</f>
        <v>26556388.079999998</v>
      </c>
    </row>
    <row r="92" spans="1:7" x14ac:dyDescent="0.2">
      <c r="A92" s="375" t="s">
        <v>168</v>
      </c>
      <c r="B92" s="398">
        <v>0</v>
      </c>
      <c r="C92" s="399">
        <v>0</v>
      </c>
      <c r="D92" s="400">
        <v>0</v>
      </c>
      <c r="E92" s="395">
        <v>0</v>
      </c>
      <c r="F92" s="397">
        <f>B92+E92</f>
        <v>0</v>
      </c>
    </row>
    <row r="93" spans="1:7" x14ac:dyDescent="0.2">
      <c r="A93" s="299" t="s">
        <v>169</v>
      </c>
      <c r="B93" s="398">
        <v>230000</v>
      </c>
      <c r="C93" s="399">
        <v>0</v>
      </c>
      <c r="D93" s="400">
        <v>0</v>
      </c>
      <c r="E93" s="395">
        <v>0</v>
      </c>
      <c r="F93" s="397">
        <f>B93+E93</f>
        <v>230000</v>
      </c>
    </row>
    <row r="94" spans="1:7" x14ac:dyDescent="0.2">
      <c r="A94" s="375" t="s">
        <v>170</v>
      </c>
      <c r="B94" s="398">
        <v>0</v>
      </c>
      <c r="C94" s="399">
        <v>0</v>
      </c>
      <c r="D94" s="400">
        <v>0</v>
      </c>
      <c r="E94" s="395">
        <v>0</v>
      </c>
      <c r="F94" s="397">
        <f>B94+E94</f>
        <v>0</v>
      </c>
    </row>
    <row r="95" spans="1:7" x14ac:dyDescent="0.2">
      <c r="A95" s="381" t="s">
        <v>16</v>
      </c>
      <c r="B95" s="391">
        <v>1594796</v>
      </c>
      <c r="C95" s="392"/>
      <c r="D95" s="392"/>
      <c r="E95" s="391">
        <v>4599120</v>
      </c>
      <c r="F95" s="296">
        <f>SUM(F96:F115)</f>
        <v>4599120</v>
      </c>
    </row>
    <row r="96" spans="1:7" x14ac:dyDescent="0.2">
      <c r="A96" s="401" t="s">
        <v>171</v>
      </c>
      <c r="B96" s="398">
        <v>0</v>
      </c>
      <c r="C96" s="399">
        <v>2058</v>
      </c>
      <c r="D96" s="400">
        <f>+(20*3)*12</f>
        <v>720</v>
      </c>
      <c r="E96" s="395">
        <v>1481760</v>
      </c>
      <c r="F96" s="397">
        <f t="shared" ref="F96:F101" si="0">B96+E96</f>
        <v>1481760</v>
      </c>
      <c r="G96" s="64" t="s">
        <v>317</v>
      </c>
    </row>
    <row r="97" spans="1:7" x14ac:dyDescent="0.2">
      <c r="A97" s="401" t="s">
        <v>172</v>
      </c>
      <c r="B97" s="398">
        <v>0</v>
      </c>
      <c r="C97" s="399">
        <v>1196</v>
      </c>
      <c r="D97" s="400">
        <f>+(10*20)*12</f>
        <v>2400</v>
      </c>
      <c r="E97" s="395">
        <v>2870400</v>
      </c>
      <c r="F97" s="397">
        <f t="shared" si="0"/>
        <v>2870400</v>
      </c>
      <c r="G97" s="64" t="s">
        <v>318</v>
      </c>
    </row>
    <row r="98" spans="1:7" x14ac:dyDescent="0.2">
      <c r="A98" s="401" t="s">
        <v>173</v>
      </c>
      <c r="B98" s="398">
        <v>0</v>
      </c>
      <c r="C98" s="399">
        <v>2058</v>
      </c>
      <c r="D98" s="400">
        <f>+(1*20)*6</f>
        <v>120</v>
      </c>
      <c r="E98" s="395">
        <v>246960</v>
      </c>
      <c r="F98" s="397">
        <f t="shared" si="0"/>
        <v>246960</v>
      </c>
      <c r="G98" s="64" t="s">
        <v>323</v>
      </c>
    </row>
    <row r="99" spans="1:7" x14ac:dyDescent="0.2">
      <c r="A99" s="375" t="s">
        <v>174</v>
      </c>
      <c r="B99" s="395">
        <f>M27</f>
        <v>0</v>
      </c>
      <c r="C99" s="395">
        <v>0</v>
      </c>
      <c r="D99" s="422">
        <v>0</v>
      </c>
      <c r="E99" s="395">
        <f t="shared" ref="E99:E115" si="1">C99*D99</f>
        <v>0</v>
      </c>
      <c r="F99" s="397">
        <f t="shared" si="0"/>
        <v>0</v>
      </c>
    </row>
    <row r="100" spans="1:7" x14ac:dyDescent="0.2">
      <c r="A100" s="375" t="s">
        <v>19</v>
      </c>
      <c r="B100" s="395">
        <f t="shared" ref="B100:B115" si="2">M28</f>
        <v>0</v>
      </c>
      <c r="C100" s="395">
        <v>0</v>
      </c>
      <c r="D100" s="422">
        <v>0</v>
      </c>
      <c r="E100" s="395">
        <f t="shared" si="1"/>
        <v>0</v>
      </c>
      <c r="F100" s="397">
        <f t="shared" si="0"/>
        <v>0</v>
      </c>
    </row>
    <row r="101" spans="1:7" x14ac:dyDescent="0.2">
      <c r="A101" s="375" t="s">
        <v>175</v>
      </c>
      <c r="B101" s="395">
        <f t="shared" si="2"/>
        <v>0</v>
      </c>
      <c r="C101" s="395">
        <v>0</v>
      </c>
      <c r="D101" s="422">
        <v>0</v>
      </c>
      <c r="E101" s="395">
        <f t="shared" si="1"/>
        <v>0</v>
      </c>
      <c r="F101" s="397">
        <f t="shared" si="0"/>
        <v>0</v>
      </c>
    </row>
    <row r="102" spans="1:7" x14ac:dyDescent="0.2">
      <c r="A102" s="375" t="s">
        <v>210</v>
      </c>
      <c r="B102" s="395">
        <f t="shared" si="2"/>
        <v>0</v>
      </c>
      <c r="C102" s="395">
        <v>0</v>
      </c>
      <c r="D102" s="422">
        <v>0</v>
      </c>
      <c r="E102" s="395">
        <f t="shared" si="1"/>
        <v>0</v>
      </c>
      <c r="F102" s="397">
        <f>B102+E102</f>
        <v>0</v>
      </c>
    </row>
    <row r="103" spans="1:7" x14ac:dyDescent="0.2">
      <c r="A103" s="375" t="s">
        <v>22</v>
      </c>
      <c r="B103" s="395">
        <f t="shared" si="2"/>
        <v>0</v>
      </c>
      <c r="C103" s="395">
        <v>0</v>
      </c>
      <c r="D103" s="422">
        <v>0</v>
      </c>
      <c r="E103" s="395">
        <f t="shared" si="1"/>
        <v>0</v>
      </c>
      <c r="F103" s="397">
        <f t="shared" ref="F103:F115" si="3">B103+E103</f>
        <v>0</v>
      </c>
    </row>
    <row r="104" spans="1:7" x14ac:dyDescent="0.2">
      <c r="A104" s="375" t="s">
        <v>177</v>
      </c>
      <c r="B104" s="395">
        <f t="shared" si="2"/>
        <v>0</v>
      </c>
      <c r="C104" s="395">
        <v>0</v>
      </c>
      <c r="D104" s="422">
        <v>0</v>
      </c>
      <c r="E104" s="395">
        <f t="shared" si="1"/>
        <v>0</v>
      </c>
      <c r="F104" s="397">
        <f t="shared" si="3"/>
        <v>0</v>
      </c>
    </row>
    <row r="105" spans="1:7" x14ac:dyDescent="0.2">
      <c r="A105" s="375" t="s">
        <v>24</v>
      </c>
      <c r="B105" s="395">
        <f t="shared" si="2"/>
        <v>0</v>
      </c>
      <c r="C105" s="395">
        <v>0</v>
      </c>
      <c r="D105" s="422">
        <v>0</v>
      </c>
      <c r="E105" s="395">
        <f t="shared" si="1"/>
        <v>0</v>
      </c>
      <c r="F105" s="397">
        <f t="shared" si="3"/>
        <v>0</v>
      </c>
    </row>
    <row r="106" spans="1:7" x14ac:dyDescent="0.2">
      <c r="A106" s="375" t="s">
        <v>25</v>
      </c>
      <c r="B106" s="395">
        <f t="shared" si="2"/>
        <v>0</v>
      </c>
      <c r="C106" s="395">
        <v>0</v>
      </c>
      <c r="D106" s="422">
        <v>0</v>
      </c>
      <c r="E106" s="395">
        <f t="shared" si="1"/>
        <v>0</v>
      </c>
      <c r="F106" s="397">
        <f t="shared" si="3"/>
        <v>0</v>
      </c>
    </row>
    <row r="107" spans="1:7" x14ac:dyDescent="0.2">
      <c r="A107" s="375" t="s">
        <v>26</v>
      </c>
      <c r="B107" s="395">
        <f t="shared" si="2"/>
        <v>0</v>
      </c>
      <c r="C107" s="395">
        <v>0</v>
      </c>
      <c r="D107" s="422">
        <v>0</v>
      </c>
      <c r="E107" s="395">
        <f t="shared" si="1"/>
        <v>0</v>
      </c>
      <c r="F107" s="397">
        <f t="shared" si="3"/>
        <v>0</v>
      </c>
    </row>
    <row r="108" spans="1:7" x14ac:dyDescent="0.2">
      <c r="A108" s="375" t="s">
        <v>27</v>
      </c>
      <c r="B108" s="395">
        <f t="shared" si="2"/>
        <v>0</v>
      </c>
      <c r="C108" s="395">
        <v>0</v>
      </c>
      <c r="D108" s="422">
        <v>0</v>
      </c>
      <c r="E108" s="395">
        <f t="shared" si="1"/>
        <v>0</v>
      </c>
      <c r="F108" s="397">
        <f t="shared" si="3"/>
        <v>0</v>
      </c>
    </row>
    <row r="109" spans="1:7" x14ac:dyDescent="0.2">
      <c r="A109" s="375" t="s">
        <v>29</v>
      </c>
      <c r="B109" s="395">
        <f t="shared" si="2"/>
        <v>0</v>
      </c>
      <c r="C109" s="395">
        <v>0</v>
      </c>
      <c r="D109" s="422">
        <v>0</v>
      </c>
      <c r="E109" s="395">
        <f t="shared" si="1"/>
        <v>0</v>
      </c>
      <c r="F109" s="397">
        <f t="shared" si="3"/>
        <v>0</v>
      </c>
    </row>
    <row r="110" spans="1:7" x14ac:dyDescent="0.2">
      <c r="A110" s="375" t="s">
        <v>30</v>
      </c>
      <c r="B110" s="395">
        <f t="shared" si="2"/>
        <v>0</v>
      </c>
      <c r="C110" s="395">
        <v>0</v>
      </c>
      <c r="D110" s="422">
        <v>0</v>
      </c>
      <c r="E110" s="395">
        <f t="shared" si="1"/>
        <v>0</v>
      </c>
      <c r="F110" s="397">
        <f t="shared" si="3"/>
        <v>0</v>
      </c>
    </row>
    <row r="111" spans="1:7" x14ac:dyDescent="0.2">
      <c r="A111" s="375" t="s">
        <v>31</v>
      </c>
      <c r="B111" s="395">
        <f t="shared" si="2"/>
        <v>0</v>
      </c>
      <c r="C111" s="395">
        <v>0</v>
      </c>
      <c r="D111" s="422">
        <v>0</v>
      </c>
      <c r="E111" s="395">
        <f t="shared" si="1"/>
        <v>0</v>
      </c>
      <c r="F111" s="397">
        <f t="shared" si="3"/>
        <v>0</v>
      </c>
    </row>
    <row r="112" spans="1:7" x14ac:dyDescent="0.2">
      <c r="A112" s="375" t="s">
        <v>178</v>
      </c>
      <c r="B112" s="395">
        <f t="shared" si="2"/>
        <v>0</v>
      </c>
      <c r="C112" s="395">
        <v>0</v>
      </c>
      <c r="D112" s="422">
        <v>0</v>
      </c>
      <c r="E112" s="395">
        <f t="shared" si="1"/>
        <v>0</v>
      </c>
      <c r="F112" s="397">
        <f t="shared" si="3"/>
        <v>0</v>
      </c>
    </row>
    <row r="113" spans="1:7" x14ac:dyDescent="0.2">
      <c r="A113" s="375" t="s">
        <v>32</v>
      </c>
      <c r="B113" s="395">
        <f t="shared" si="2"/>
        <v>0</v>
      </c>
      <c r="C113" s="395">
        <v>0</v>
      </c>
      <c r="D113" s="422">
        <v>0</v>
      </c>
      <c r="E113" s="395">
        <f t="shared" si="1"/>
        <v>0</v>
      </c>
      <c r="F113" s="397">
        <f t="shared" si="3"/>
        <v>0</v>
      </c>
    </row>
    <row r="114" spans="1:7" x14ac:dyDescent="0.2">
      <c r="A114" s="375" t="s">
        <v>179</v>
      </c>
      <c r="B114" s="395">
        <f t="shared" si="2"/>
        <v>0</v>
      </c>
      <c r="C114" s="395">
        <v>0</v>
      </c>
      <c r="D114" s="422">
        <v>0</v>
      </c>
      <c r="E114" s="395">
        <f t="shared" si="1"/>
        <v>0</v>
      </c>
      <c r="F114" s="397">
        <f t="shared" si="3"/>
        <v>0</v>
      </c>
    </row>
    <row r="115" spans="1:7" x14ac:dyDescent="0.2">
      <c r="A115" s="375" t="s">
        <v>180</v>
      </c>
      <c r="B115" s="395">
        <f t="shared" si="2"/>
        <v>0</v>
      </c>
      <c r="C115" s="395">
        <v>0</v>
      </c>
      <c r="D115" s="422">
        <v>0</v>
      </c>
      <c r="E115" s="395">
        <f t="shared" si="1"/>
        <v>0</v>
      </c>
      <c r="F115" s="397">
        <f t="shared" si="3"/>
        <v>0</v>
      </c>
    </row>
    <row r="116" spans="1:7" x14ac:dyDescent="0.2">
      <c r="A116" s="378" t="s">
        <v>34</v>
      </c>
      <c r="B116" s="300">
        <f>+B117+B122+B124+B133+B142+B150</f>
        <v>0</v>
      </c>
      <c r="C116" s="404"/>
      <c r="D116" s="404"/>
      <c r="E116" s="300">
        <f>+E117+E122+E124+E133+E142+E150</f>
        <v>132700</v>
      </c>
      <c r="F116" s="300">
        <f>+F117+F122+F124+F133+F142+F150</f>
        <v>132700</v>
      </c>
    </row>
    <row r="117" spans="1:7" x14ac:dyDescent="0.2">
      <c r="A117" s="381" t="s">
        <v>35</v>
      </c>
      <c r="B117" s="391">
        <f>SUM(B118:B121)</f>
        <v>0</v>
      </c>
      <c r="C117" s="392"/>
      <c r="D117" s="392"/>
      <c r="E117" s="391">
        <f>SUM(E118:E121)</f>
        <v>120200</v>
      </c>
      <c r="F117" s="391">
        <f>SUM(F118:F121)</f>
        <v>120200</v>
      </c>
    </row>
    <row r="118" spans="1:7" x14ac:dyDescent="0.2">
      <c r="A118" s="375" t="s">
        <v>181</v>
      </c>
      <c r="B118" s="398"/>
      <c r="C118" s="399">
        <v>28620</v>
      </c>
      <c r="D118" s="493">
        <v>3</v>
      </c>
      <c r="E118" s="395">
        <f>C118*D118</f>
        <v>85860</v>
      </c>
      <c r="F118" s="397">
        <f t="shared" ref="F118:F121" si="4">B118+E118</f>
        <v>85860</v>
      </c>
      <c r="G118" s="64" t="s">
        <v>320</v>
      </c>
    </row>
    <row r="119" spans="1:7" x14ac:dyDescent="0.2">
      <c r="A119" s="375" t="s">
        <v>182</v>
      </c>
      <c r="B119" s="398">
        <v>0</v>
      </c>
      <c r="C119" s="399">
        <v>34340</v>
      </c>
      <c r="D119" s="493">
        <v>1</v>
      </c>
      <c r="E119" s="395">
        <f t="shared" ref="E119:E121" si="5">C119*D119</f>
        <v>34340</v>
      </c>
      <c r="F119" s="397">
        <f t="shared" si="4"/>
        <v>34340</v>
      </c>
      <c r="G119" s="64" t="s">
        <v>321</v>
      </c>
    </row>
    <row r="120" spans="1:7" x14ac:dyDescent="0.2">
      <c r="A120" s="375" t="s">
        <v>41</v>
      </c>
      <c r="B120" s="405">
        <f>M46</f>
        <v>0</v>
      </c>
      <c r="C120" s="405">
        <v>0</v>
      </c>
      <c r="D120" s="406">
        <v>0</v>
      </c>
      <c r="E120" s="395">
        <f t="shared" si="5"/>
        <v>0</v>
      </c>
      <c r="F120" s="397">
        <f t="shared" si="4"/>
        <v>0</v>
      </c>
    </row>
    <row r="121" spans="1:7" x14ac:dyDescent="0.2">
      <c r="A121" s="375" t="s">
        <v>183</v>
      </c>
      <c r="B121" s="405">
        <f>M47</f>
        <v>0</v>
      </c>
      <c r="C121" s="405">
        <v>0</v>
      </c>
      <c r="D121" s="406">
        <v>0</v>
      </c>
      <c r="E121" s="395">
        <f t="shared" si="5"/>
        <v>0</v>
      </c>
      <c r="F121" s="397">
        <f t="shared" si="4"/>
        <v>0</v>
      </c>
    </row>
    <row r="122" spans="1:7" x14ac:dyDescent="0.2">
      <c r="A122" s="381" t="s">
        <v>42</v>
      </c>
      <c r="B122" s="391">
        <f>SUM(B123:B123)</f>
        <v>0</v>
      </c>
      <c r="C122" s="392"/>
      <c r="D122" s="392"/>
      <c r="E122" s="407">
        <f>SUM(E123:E123)</f>
        <v>0</v>
      </c>
      <c r="F122" s="408">
        <f>SUM(F123:F123)</f>
        <v>0</v>
      </c>
    </row>
    <row r="123" spans="1:7" x14ac:dyDescent="0.2">
      <c r="A123" s="375" t="s">
        <v>44</v>
      </c>
      <c r="B123" s="405">
        <f>+M49</f>
        <v>0</v>
      </c>
      <c r="C123" s="405">
        <v>0</v>
      </c>
      <c r="D123" s="406">
        <v>0</v>
      </c>
      <c r="E123" s="395">
        <f t="shared" ref="E123" si="6">C123*D123</f>
        <v>0</v>
      </c>
      <c r="F123" s="397">
        <f t="shared" ref="F123" si="7">B123+E123</f>
        <v>0</v>
      </c>
    </row>
    <row r="124" spans="1:7" x14ac:dyDescent="0.2">
      <c r="A124" s="381" t="s">
        <v>45</v>
      </c>
      <c r="B124" s="391">
        <f>SUM(B125:B132)</f>
        <v>0</v>
      </c>
      <c r="C124" s="392"/>
      <c r="D124" s="392"/>
      <c r="E124" s="391">
        <f>SUM(E125:E132)</f>
        <v>0</v>
      </c>
      <c r="F124" s="296">
        <f>SUM(F125:F132)</f>
        <v>0</v>
      </c>
    </row>
    <row r="125" spans="1:7" x14ac:dyDescent="0.2">
      <c r="A125" s="375" t="s">
        <v>47</v>
      </c>
      <c r="B125" s="405">
        <f>+M51</f>
        <v>0</v>
      </c>
      <c r="C125" s="405">
        <v>0</v>
      </c>
      <c r="D125" s="406">
        <v>0</v>
      </c>
      <c r="E125" s="405">
        <f t="shared" ref="E125:E132" si="8">C125*D125</f>
        <v>0</v>
      </c>
      <c r="F125" s="397">
        <f t="shared" ref="F125:F132" si="9">B125+E125</f>
        <v>0</v>
      </c>
    </row>
    <row r="126" spans="1:7" x14ac:dyDescent="0.2">
      <c r="A126" s="375" t="s">
        <v>211</v>
      </c>
      <c r="B126" s="405">
        <f t="shared" ref="B126:B132" si="10">+M52</f>
        <v>0</v>
      </c>
      <c r="C126" s="405">
        <v>0</v>
      </c>
      <c r="D126" s="406">
        <v>0</v>
      </c>
      <c r="E126" s="405">
        <f t="shared" si="8"/>
        <v>0</v>
      </c>
      <c r="F126" s="397">
        <f t="shared" si="9"/>
        <v>0</v>
      </c>
    </row>
    <row r="127" spans="1:7" x14ac:dyDescent="0.2">
      <c r="A127" s="375" t="s">
        <v>49</v>
      </c>
      <c r="B127" s="405">
        <f t="shared" si="10"/>
        <v>0</v>
      </c>
      <c r="C127" s="405">
        <v>0</v>
      </c>
      <c r="D127" s="406">
        <v>0</v>
      </c>
      <c r="E127" s="405">
        <f t="shared" si="8"/>
        <v>0</v>
      </c>
      <c r="F127" s="397">
        <f t="shared" si="9"/>
        <v>0</v>
      </c>
    </row>
    <row r="128" spans="1:7" x14ac:dyDescent="0.2">
      <c r="A128" s="375" t="s">
        <v>50</v>
      </c>
      <c r="B128" s="405">
        <f t="shared" si="10"/>
        <v>0</v>
      </c>
      <c r="C128" s="405">
        <v>0</v>
      </c>
      <c r="D128" s="406">
        <v>0</v>
      </c>
      <c r="E128" s="405">
        <f t="shared" si="8"/>
        <v>0</v>
      </c>
      <c r="F128" s="397">
        <f t="shared" si="9"/>
        <v>0</v>
      </c>
    </row>
    <row r="129" spans="1:6" x14ac:dyDescent="0.2">
      <c r="A129" s="375" t="s">
        <v>51</v>
      </c>
      <c r="B129" s="405">
        <f t="shared" si="10"/>
        <v>0</v>
      </c>
      <c r="C129" s="405">
        <v>0</v>
      </c>
      <c r="D129" s="406">
        <v>0</v>
      </c>
      <c r="E129" s="405">
        <f t="shared" si="8"/>
        <v>0</v>
      </c>
      <c r="F129" s="397">
        <f t="shared" si="9"/>
        <v>0</v>
      </c>
    </row>
    <row r="130" spans="1:6" x14ac:dyDescent="0.2">
      <c r="A130" s="375" t="s">
        <v>52</v>
      </c>
      <c r="B130" s="405">
        <f t="shared" si="10"/>
        <v>0</v>
      </c>
      <c r="C130" s="409">
        <v>0</v>
      </c>
      <c r="D130" s="406">
        <v>0</v>
      </c>
      <c r="E130" s="405">
        <f t="shared" si="8"/>
        <v>0</v>
      </c>
      <c r="F130" s="397">
        <f t="shared" si="9"/>
        <v>0</v>
      </c>
    </row>
    <row r="131" spans="1:6" x14ac:dyDescent="0.2">
      <c r="A131" s="375" t="s">
        <v>184</v>
      </c>
      <c r="B131" s="405">
        <f t="shared" si="10"/>
        <v>0</v>
      </c>
      <c r="C131" s="409">
        <v>0</v>
      </c>
      <c r="D131" s="406">
        <v>0</v>
      </c>
      <c r="E131" s="405">
        <f t="shared" si="8"/>
        <v>0</v>
      </c>
      <c r="F131" s="397">
        <f t="shared" si="9"/>
        <v>0</v>
      </c>
    </row>
    <row r="132" spans="1:6" x14ac:dyDescent="0.2">
      <c r="A132" s="375" t="s">
        <v>176</v>
      </c>
      <c r="B132" s="405">
        <f t="shared" si="10"/>
        <v>0</v>
      </c>
      <c r="C132" s="405">
        <v>0</v>
      </c>
      <c r="D132" s="406">
        <v>0</v>
      </c>
      <c r="E132" s="405">
        <f t="shared" si="8"/>
        <v>0</v>
      </c>
      <c r="F132" s="397">
        <f t="shared" si="9"/>
        <v>0</v>
      </c>
    </row>
    <row r="133" spans="1:6" x14ac:dyDescent="0.2">
      <c r="A133" s="381" t="s">
        <v>55</v>
      </c>
      <c r="B133" s="391">
        <f>SUM(B134:B141)</f>
        <v>0</v>
      </c>
      <c r="C133" s="392"/>
      <c r="D133" s="392"/>
      <c r="E133" s="391">
        <f>SUM(E134:E141)</f>
        <v>0</v>
      </c>
      <c r="F133" s="296">
        <f>SUM(F134:F141)</f>
        <v>0</v>
      </c>
    </row>
    <row r="134" spans="1:6" x14ac:dyDescent="0.2">
      <c r="A134" s="375" t="s">
        <v>56</v>
      </c>
      <c r="B134" s="405">
        <f>+M60</f>
        <v>0</v>
      </c>
      <c r="C134" s="405">
        <v>0</v>
      </c>
      <c r="D134" s="406">
        <v>0</v>
      </c>
      <c r="E134" s="405">
        <f t="shared" ref="E134:E141" si="11">C134*D134</f>
        <v>0</v>
      </c>
      <c r="F134" s="397">
        <f t="shared" ref="F134:F141" si="12">B134+E134</f>
        <v>0</v>
      </c>
    </row>
    <row r="135" spans="1:6" x14ac:dyDescent="0.2">
      <c r="A135" s="375" t="s">
        <v>57</v>
      </c>
      <c r="B135" s="405">
        <f t="shared" ref="B135:B137" si="13">+M61</f>
        <v>0</v>
      </c>
      <c r="C135" s="405">
        <v>0</v>
      </c>
      <c r="D135" s="406">
        <v>0</v>
      </c>
      <c r="E135" s="405">
        <f t="shared" si="11"/>
        <v>0</v>
      </c>
      <c r="F135" s="397">
        <f t="shared" si="12"/>
        <v>0</v>
      </c>
    </row>
    <row r="136" spans="1:6" x14ac:dyDescent="0.2">
      <c r="A136" s="375" t="s">
        <v>167</v>
      </c>
      <c r="B136" s="405">
        <f t="shared" si="13"/>
        <v>0</v>
      </c>
      <c r="C136" s="405">
        <v>0</v>
      </c>
      <c r="D136" s="406">
        <v>0</v>
      </c>
      <c r="E136" s="405">
        <f t="shared" si="11"/>
        <v>0</v>
      </c>
      <c r="F136" s="397">
        <f t="shared" si="12"/>
        <v>0</v>
      </c>
    </row>
    <row r="137" spans="1:6" x14ac:dyDescent="0.2">
      <c r="A137" s="375" t="s">
        <v>185</v>
      </c>
      <c r="B137" s="405">
        <f t="shared" si="13"/>
        <v>0</v>
      </c>
      <c r="C137" s="405">
        <v>0</v>
      </c>
      <c r="D137" s="406">
        <v>0</v>
      </c>
      <c r="E137" s="405">
        <f t="shared" si="11"/>
        <v>0</v>
      </c>
      <c r="F137" s="397">
        <f t="shared" si="12"/>
        <v>0</v>
      </c>
    </row>
    <row r="138" spans="1:6" x14ac:dyDescent="0.2">
      <c r="A138" s="375" t="s">
        <v>187</v>
      </c>
      <c r="B138" s="660">
        <v>0</v>
      </c>
      <c r="C138" s="660">
        <v>8200</v>
      </c>
      <c r="D138" s="671">
        <f>+'B) Reajuste Tarifas y Ocupación'!G41</f>
        <v>0</v>
      </c>
      <c r="E138" s="395">
        <f t="shared" si="11"/>
        <v>0</v>
      </c>
      <c r="F138" s="397">
        <f t="shared" si="12"/>
        <v>0</v>
      </c>
    </row>
    <row r="139" spans="1:6" x14ac:dyDescent="0.2">
      <c r="A139" s="375" t="s">
        <v>188</v>
      </c>
      <c r="B139" s="395">
        <f>+M64</f>
        <v>0</v>
      </c>
      <c r="C139" s="395">
        <v>0</v>
      </c>
      <c r="D139" s="403">
        <v>0</v>
      </c>
      <c r="E139" s="395">
        <f t="shared" si="11"/>
        <v>0</v>
      </c>
      <c r="F139" s="397">
        <f t="shared" si="12"/>
        <v>0</v>
      </c>
    </row>
    <row r="140" spans="1:6" x14ac:dyDescent="0.2">
      <c r="A140" s="375" t="s">
        <v>186</v>
      </c>
      <c r="B140" s="395">
        <f t="shared" ref="B140:B141" si="14">+M65</f>
        <v>0</v>
      </c>
      <c r="C140" s="395">
        <v>0</v>
      </c>
      <c r="D140" s="403">
        <v>0</v>
      </c>
      <c r="E140" s="395">
        <f t="shared" si="11"/>
        <v>0</v>
      </c>
      <c r="F140" s="397">
        <f t="shared" si="12"/>
        <v>0</v>
      </c>
    </row>
    <row r="141" spans="1:6" x14ac:dyDescent="0.2">
      <c r="A141" s="375" t="s">
        <v>64</v>
      </c>
      <c r="B141" s="395">
        <f t="shared" si="14"/>
        <v>0</v>
      </c>
      <c r="C141" s="395">
        <v>0</v>
      </c>
      <c r="D141" s="403">
        <v>0</v>
      </c>
      <c r="E141" s="395">
        <f t="shared" si="11"/>
        <v>0</v>
      </c>
      <c r="F141" s="397">
        <f t="shared" si="12"/>
        <v>0</v>
      </c>
    </row>
    <row r="142" spans="1:6" x14ac:dyDescent="0.2">
      <c r="A142" s="381" t="s">
        <v>65</v>
      </c>
      <c r="B142" s="391">
        <f>SUM(B143:B149)</f>
        <v>0</v>
      </c>
      <c r="C142" s="392"/>
      <c r="D142" s="392"/>
      <c r="E142" s="391">
        <f>SUM(E143:E149)</f>
        <v>0</v>
      </c>
      <c r="F142" s="296">
        <f>SUM(F143:F149)</f>
        <v>0</v>
      </c>
    </row>
    <row r="143" spans="1:6" x14ac:dyDescent="0.2">
      <c r="A143" s="375" t="s">
        <v>99</v>
      </c>
      <c r="B143" s="405">
        <f>+M68</f>
        <v>0</v>
      </c>
      <c r="C143" s="405">
        <v>0</v>
      </c>
      <c r="D143" s="406">
        <v>0</v>
      </c>
      <c r="E143" s="395">
        <f t="shared" ref="E143:E149" si="15">C143*D143</f>
        <v>0</v>
      </c>
      <c r="F143" s="397">
        <f t="shared" ref="F143:F148" si="16">B143+E143</f>
        <v>0</v>
      </c>
    </row>
    <row r="144" spans="1:6" x14ac:dyDescent="0.2">
      <c r="A144" s="375" t="s">
        <v>100</v>
      </c>
      <c r="B144" s="405">
        <f t="shared" ref="B144:B149" si="17">+M69</f>
        <v>0</v>
      </c>
      <c r="C144" s="405">
        <v>0</v>
      </c>
      <c r="D144" s="406">
        <v>0</v>
      </c>
      <c r="E144" s="395">
        <f t="shared" si="15"/>
        <v>0</v>
      </c>
      <c r="F144" s="397">
        <f t="shared" si="16"/>
        <v>0</v>
      </c>
    </row>
    <row r="145" spans="1:10" x14ac:dyDescent="0.2">
      <c r="A145" s="375" t="s">
        <v>189</v>
      </c>
      <c r="B145" s="405">
        <f t="shared" si="17"/>
        <v>0</v>
      </c>
      <c r="C145" s="405">
        <v>0</v>
      </c>
      <c r="D145" s="406">
        <v>0</v>
      </c>
      <c r="E145" s="395">
        <f t="shared" si="15"/>
        <v>0</v>
      </c>
      <c r="F145" s="397">
        <f t="shared" si="16"/>
        <v>0</v>
      </c>
    </row>
    <row r="146" spans="1:10" x14ac:dyDescent="0.2">
      <c r="A146" s="375" t="s">
        <v>102</v>
      </c>
      <c r="B146" s="405">
        <f t="shared" si="17"/>
        <v>0</v>
      </c>
      <c r="C146" s="405">
        <v>0</v>
      </c>
      <c r="D146" s="406">
        <v>0</v>
      </c>
      <c r="E146" s="395">
        <f t="shared" si="15"/>
        <v>0</v>
      </c>
      <c r="F146" s="397">
        <f t="shared" si="16"/>
        <v>0</v>
      </c>
    </row>
    <row r="147" spans="1:10" x14ac:dyDescent="0.2">
      <c r="A147" s="375" t="s">
        <v>190</v>
      </c>
      <c r="B147" s="405">
        <f t="shared" si="17"/>
        <v>0</v>
      </c>
      <c r="C147" s="405">
        <v>0</v>
      </c>
      <c r="D147" s="406">
        <v>0</v>
      </c>
      <c r="E147" s="395">
        <f t="shared" si="15"/>
        <v>0</v>
      </c>
      <c r="F147" s="397">
        <f t="shared" si="16"/>
        <v>0</v>
      </c>
    </row>
    <row r="148" spans="1:10" x14ac:dyDescent="0.2">
      <c r="A148" s="375" t="s">
        <v>104</v>
      </c>
      <c r="B148" s="405">
        <f t="shared" si="17"/>
        <v>0</v>
      </c>
      <c r="C148" s="405">
        <v>0</v>
      </c>
      <c r="D148" s="406">
        <v>0</v>
      </c>
      <c r="E148" s="395">
        <f t="shared" si="15"/>
        <v>0</v>
      </c>
      <c r="F148" s="397">
        <f t="shared" si="16"/>
        <v>0</v>
      </c>
      <c r="G148" s="64" t="s">
        <v>322</v>
      </c>
    </row>
    <row r="149" spans="1:10" x14ac:dyDescent="0.2">
      <c r="A149" s="375" t="s">
        <v>212</v>
      </c>
      <c r="B149" s="405">
        <f t="shared" si="17"/>
        <v>0</v>
      </c>
      <c r="C149" s="405">
        <v>0</v>
      </c>
      <c r="D149" s="406">
        <v>0</v>
      </c>
      <c r="E149" s="395">
        <f t="shared" si="15"/>
        <v>0</v>
      </c>
      <c r="F149" s="397">
        <f>B149+E149</f>
        <v>0</v>
      </c>
    </row>
    <row r="150" spans="1:10" x14ac:dyDescent="0.2">
      <c r="A150" s="381" t="s">
        <v>66</v>
      </c>
      <c r="B150" s="391">
        <f>SUM(B151:B151)</f>
        <v>0</v>
      </c>
      <c r="C150" s="392"/>
      <c r="D150" s="392"/>
      <c r="E150" s="391">
        <f>SUM(E151:E151)</f>
        <v>12500</v>
      </c>
      <c r="F150" s="296">
        <f>SUM(F151:F151)</f>
        <v>12500</v>
      </c>
    </row>
    <row r="151" spans="1:10" x14ac:dyDescent="0.2">
      <c r="A151" s="411" t="s">
        <v>213</v>
      </c>
      <c r="B151" s="398">
        <v>0</v>
      </c>
      <c r="C151" s="398">
        <v>1250</v>
      </c>
      <c r="D151" s="493">
        <v>10</v>
      </c>
      <c r="E151" s="395">
        <f t="shared" ref="E151" si="18">C151*D151</f>
        <v>12500</v>
      </c>
      <c r="F151" s="412">
        <f t="shared" ref="F151" si="19">B151+E151</f>
        <v>12500</v>
      </c>
    </row>
    <row r="152" spans="1:10" x14ac:dyDescent="0.2">
      <c r="A152" s="416" t="s">
        <v>105</v>
      </c>
      <c r="B152" s="417">
        <f>SUM(B89,B116)</f>
        <v>28381184.079999998</v>
      </c>
      <c r="C152" s="418"/>
      <c r="D152" s="418"/>
      <c r="E152" s="417">
        <f>SUM(E89,E116)</f>
        <v>4731820</v>
      </c>
      <c r="F152" s="419">
        <f>SUM(F89,F116)</f>
        <v>31518208.079999998</v>
      </c>
    </row>
    <row r="156" spans="1:10" x14ac:dyDescent="0.2">
      <c r="A156" s="64" t="s">
        <v>324</v>
      </c>
    </row>
    <row r="157" spans="1:10" ht="13.5" thickBot="1" x14ac:dyDescent="0.25"/>
    <row r="158" spans="1:10" ht="25.5" x14ac:dyDescent="0.2">
      <c r="A158" s="863" t="s">
        <v>121</v>
      </c>
      <c r="B158" s="478" t="s">
        <v>279</v>
      </c>
      <c r="C158" s="704" t="s">
        <v>314</v>
      </c>
      <c r="D158" s="702" t="s">
        <v>315</v>
      </c>
      <c r="E158" s="82" t="s">
        <v>120</v>
      </c>
      <c r="F158" s="76">
        <v>3277000</v>
      </c>
      <c r="G158" s="76">
        <v>0</v>
      </c>
      <c r="H158" s="88">
        <v>0</v>
      </c>
      <c r="I158" s="675">
        <f t="shared" ref="I158:I162" si="20">SUM(F158:H158)</f>
        <v>3277000</v>
      </c>
      <c r="J158" s="477">
        <f>+I158*(1+$K$11)</f>
        <v>3277000</v>
      </c>
    </row>
    <row r="159" spans="1:10" x14ac:dyDescent="0.2">
      <c r="A159" s="864"/>
      <c r="B159" s="60"/>
      <c r="C159" s="83"/>
      <c r="D159" s="84"/>
      <c r="E159" s="61" t="s">
        <v>120</v>
      </c>
      <c r="F159" s="77">
        <v>0</v>
      </c>
      <c r="G159" s="77">
        <v>0</v>
      </c>
      <c r="H159" s="89">
        <v>0</v>
      </c>
      <c r="I159" s="676">
        <f t="shared" si="20"/>
        <v>0</v>
      </c>
      <c r="J159" s="482">
        <f t="shared" ref="J159:J162" si="21">+I159*(1+$K$11)</f>
        <v>0</v>
      </c>
    </row>
    <row r="160" spans="1:10" x14ac:dyDescent="0.2">
      <c r="A160" s="864"/>
      <c r="B160" s="60"/>
      <c r="C160" s="83"/>
      <c r="D160" s="84"/>
      <c r="E160" s="61" t="s">
        <v>120</v>
      </c>
      <c r="F160" s="77">
        <v>0</v>
      </c>
      <c r="G160" s="77">
        <v>0</v>
      </c>
      <c r="H160" s="89">
        <v>0</v>
      </c>
      <c r="I160" s="676">
        <f t="shared" si="20"/>
        <v>0</v>
      </c>
      <c r="J160" s="482">
        <f t="shared" si="21"/>
        <v>0</v>
      </c>
    </row>
    <row r="161" spans="1:10" x14ac:dyDescent="0.2">
      <c r="A161" s="864"/>
      <c r="B161" s="59"/>
      <c r="C161" s="85"/>
      <c r="D161" s="86"/>
      <c r="E161" s="87" t="s">
        <v>120</v>
      </c>
      <c r="F161" s="77">
        <v>0</v>
      </c>
      <c r="G161" s="77">
        <v>0</v>
      </c>
      <c r="H161" s="89">
        <v>0</v>
      </c>
      <c r="I161" s="676">
        <f t="shared" si="20"/>
        <v>0</v>
      </c>
      <c r="J161" s="482">
        <f t="shared" si="21"/>
        <v>0</v>
      </c>
    </row>
    <row r="162" spans="1:10" ht="13.5" thickBot="1" x14ac:dyDescent="0.25">
      <c r="A162" s="865"/>
      <c r="B162" s="91"/>
      <c r="C162" s="78"/>
      <c r="D162" s="79"/>
      <c r="E162" s="80" t="s">
        <v>120</v>
      </c>
      <c r="F162" s="81">
        <v>0</v>
      </c>
      <c r="G162" s="81">
        <v>0</v>
      </c>
      <c r="H162" s="90">
        <v>0</v>
      </c>
      <c r="I162" s="687">
        <f t="shared" si="20"/>
        <v>0</v>
      </c>
      <c r="J162" s="487">
        <f t="shared" si="21"/>
        <v>0</v>
      </c>
    </row>
    <row r="163" spans="1:10" x14ac:dyDescent="0.2">
      <c r="A163" s="27"/>
      <c r="B163" s="27"/>
      <c r="C163" s="25"/>
      <c r="D163" s="25"/>
      <c r="E163" s="33"/>
      <c r="F163" s="33"/>
      <c r="G163" s="33"/>
      <c r="H163" s="33"/>
      <c r="I163" s="33"/>
      <c r="J163" s="27"/>
    </row>
    <row r="164" spans="1:10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</row>
  </sheetData>
  <mergeCells count="6">
    <mergeCell ref="A158:A162"/>
    <mergeCell ref="J4:K4"/>
    <mergeCell ref="A17:A18"/>
    <mergeCell ref="B17:B18"/>
    <mergeCell ref="C17:E17"/>
    <mergeCell ref="F17:F18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2:O25"/>
  <sheetViews>
    <sheetView zoomScale="90" zoomScaleNormal="90" workbookViewId="0">
      <selection activeCell="K30" sqref="K30"/>
    </sheetView>
  </sheetViews>
  <sheetFormatPr baseColWidth="10" defaultRowHeight="15" x14ac:dyDescent="0.25"/>
  <cols>
    <col min="1" max="1" width="38.140625" style="537" bestFit="1" customWidth="1"/>
    <col min="2" max="13" width="13.85546875" style="537" bestFit="1" customWidth="1"/>
    <col min="14" max="14" width="14.85546875" style="537" bestFit="1" customWidth="1"/>
    <col min="15" max="15" width="13.85546875" style="537" bestFit="1" customWidth="1"/>
    <col min="16" max="16384" width="11.42578125" style="537"/>
  </cols>
  <sheetData>
    <row r="2" spans="1:15" ht="15.75" x14ac:dyDescent="0.25">
      <c r="A2" s="977" t="s">
        <v>248</v>
      </c>
      <c r="B2" s="977"/>
      <c r="C2" s="977"/>
      <c r="D2" s="977"/>
    </row>
    <row r="4" spans="1:15" x14ac:dyDescent="0.25">
      <c r="A4" s="548" t="s">
        <v>253</v>
      </c>
      <c r="B4" s="538" t="s">
        <v>231</v>
      </c>
      <c r="C4" s="538" t="s">
        <v>232</v>
      </c>
      <c r="D4" s="538" t="s">
        <v>233</v>
      </c>
      <c r="E4" s="538" t="s">
        <v>234</v>
      </c>
      <c r="F4" s="538" t="s">
        <v>235</v>
      </c>
      <c r="G4" s="538" t="s">
        <v>236</v>
      </c>
      <c r="H4" s="538" t="s">
        <v>237</v>
      </c>
      <c r="I4" s="538" t="s">
        <v>238</v>
      </c>
      <c r="J4" s="538" t="s">
        <v>239</v>
      </c>
      <c r="K4" s="538" t="s">
        <v>240</v>
      </c>
      <c r="L4" s="538" t="s">
        <v>241</v>
      </c>
      <c r="M4" s="538" t="s">
        <v>242</v>
      </c>
    </row>
    <row r="5" spans="1:15" x14ac:dyDescent="0.25">
      <c r="A5" s="539" t="s">
        <v>249</v>
      </c>
      <c r="B5" s="540"/>
      <c r="C5" s="540"/>
      <c r="D5" s="540">
        <f>+'B) Reajuste Tarifas y Ocupación'!$I$25</f>
        <v>62</v>
      </c>
      <c r="E5" s="540">
        <f>+'B) Reajuste Tarifas y Ocupación'!$I$25</f>
        <v>62</v>
      </c>
      <c r="F5" s="540">
        <f>+'B) Reajuste Tarifas y Ocupación'!$I$25</f>
        <v>62</v>
      </c>
      <c r="G5" s="540">
        <f>+'B) Reajuste Tarifas y Ocupación'!$I$25</f>
        <v>62</v>
      </c>
      <c r="H5" s="540">
        <f>+'B) Reajuste Tarifas y Ocupación'!$I$25</f>
        <v>62</v>
      </c>
      <c r="I5" s="540">
        <f>+'B) Reajuste Tarifas y Ocupación'!$I$25</f>
        <v>62</v>
      </c>
      <c r="J5" s="540">
        <f>+'B) Reajuste Tarifas y Ocupación'!$I$25</f>
        <v>62</v>
      </c>
      <c r="K5" s="540">
        <f>+'B) Reajuste Tarifas y Ocupación'!$I$25</f>
        <v>62</v>
      </c>
      <c r="L5" s="540">
        <f>+'B) Reajuste Tarifas y Ocupación'!$I$25</f>
        <v>62</v>
      </c>
      <c r="M5" s="540">
        <f>+'B) Reajuste Tarifas y Ocupación'!$I$25</f>
        <v>62</v>
      </c>
    </row>
    <row r="6" spans="1:15" x14ac:dyDescent="0.25">
      <c r="A6" s="539" t="s">
        <v>250</v>
      </c>
      <c r="B6" s="540">
        <f>+COUNTA('F) Remuneraciones'!$C$11:$C$22)</f>
        <v>8</v>
      </c>
      <c r="C6" s="540">
        <f>+COUNTA('F) Remuneraciones'!$C$11:$C$22)</f>
        <v>8</v>
      </c>
      <c r="D6" s="540">
        <f>+COUNTA('F) Remuneraciones'!$C$11:$C$22)</f>
        <v>8</v>
      </c>
      <c r="E6" s="540">
        <f>+COUNTA('F) Remuneraciones'!$C$11:$C$22)</f>
        <v>8</v>
      </c>
      <c r="F6" s="540">
        <f>+COUNTA('F) Remuneraciones'!$C$11:$C$22)</f>
        <v>8</v>
      </c>
      <c r="G6" s="540">
        <f>+COUNTA('F) Remuneraciones'!$C$11:$C$22)</f>
        <v>8</v>
      </c>
      <c r="H6" s="540">
        <f>+COUNTA('F) Remuneraciones'!$C$11:$C$22)</f>
        <v>8</v>
      </c>
      <c r="I6" s="540">
        <f>+COUNTA('F) Remuneraciones'!$C$11:$C$22)</f>
        <v>8</v>
      </c>
      <c r="J6" s="540">
        <f>+COUNTA('F) Remuneraciones'!$C$11:$C$22)</f>
        <v>8</v>
      </c>
      <c r="K6" s="540">
        <f>+COUNTA('F) Remuneraciones'!$C$11:$C$22)</f>
        <v>8</v>
      </c>
      <c r="L6" s="540">
        <f>+COUNTA('F) Remuneraciones'!$C$11:$C$22)</f>
        <v>8</v>
      </c>
      <c r="M6" s="540">
        <f>+COUNTA('F) Remuneraciones'!$C$11:$C$22)</f>
        <v>8</v>
      </c>
    </row>
    <row r="7" spans="1:15" x14ac:dyDescent="0.25">
      <c r="A7" s="539"/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</row>
    <row r="8" spans="1:15" ht="30" x14ac:dyDescent="0.25">
      <c r="A8" s="542" t="str">
        <f>+'A) Resumen Ingresos y Egresos'!A21</f>
        <v>Jardín Infantil Olitas de Mar</v>
      </c>
      <c r="B8" s="538" t="s">
        <v>231</v>
      </c>
      <c r="C8" s="538" t="s">
        <v>232</v>
      </c>
      <c r="D8" s="538" t="s">
        <v>233</v>
      </c>
      <c r="E8" s="538" t="s">
        <v>234</v>
      </c>
      <c r="F8" s="538" t="s">
        <v>235</v>
      </c>
      <c r="G8" s="538" t="s">
        <v>236</v>
      </c>
      <c r="H8" s="538" t="s">
        <v>237</v>
      </c>
      <c r="I8" s="538" t="s">
        <v>238</v>
      </c>
      <c r="J8" s="538" t="s">
        <v>239</v>
      </c>
      <c r="K8" s="538" t="s">
        <v>240</v>
      </c>
      <c r="L8" s="538" t="s">
        <v>241</v>
      </c>
      <c r="M8" s="538" t="s">
        <v>242</v>
      </c>
      <c r="N8" s="538" t="s">
        <v>251</v>
      </c>
    </row>
    <row r="9" spans="1:15" x14ac:dyDescent="0.25">
      <c r="A9" s="543" t="s">
        <v>243</v>
      </c>
      <c r="B9" s="544">
        <f>+'A) Resumen Ingresos y Egresos'!P30</f>
        <v>2808000</v>
      </c>
      <c r="C9" s="544">
        <f>+'A) Resumen Ingresos y Egresos'!N30*0.7</f>
        <v>4672710</v>
      </c>
      <c r="D9" s="544">
        <f>+'A) Resumen Ingresos y Egresos'!N30*0.3+'A) Resumen Ingresos y Egresos'!O30*0.1</f>
        <v>8677890</v>
      </c>
      <c r="E9" s="544">
        <f>+'A) Resumen Ingresos y Egresos'!$O$30*0.1</f>
        <v>6675300</v>
      </c>
      <c r="F9" s="544">
        <f>+'A) Resumen Ingresos y Egresos'!$O$30*0.1</f>
        <v>6675300</v>
      </c>
      <c r="G9" s="544">
        <f>+'A) Resumen Ingresos y Egresos'!$O$30*0.1</f>
        <v>6675300</v>
      </c>
      <c r="H9" s="544">
        <f>+'A) Resumen Ingresos y Egresos'!$O$30*0.1</f>
        <v>6675300</v>
      </c>
      <c r="I9" s="544">
        <f>+'A) Resumen Ingresos y Egresos'!$O$30*0.1</f>
        <v>6675300</v>
      </c>
      <c r="J9" s="544">
        <f>+'A) Resumen Ingresos y Egresos'!$O$30*0.1</f>
        <v>6675300</v>
      </c>
      <c r="K9" s="544">
        <f>+'A) Resumen Ingresos y Egresos'!$O$30*0.1</f>
        <v>6675300</v>
      </c>
      <c r="L9" s="544">
        <f>+'A) Resumen Ingresos y Egresos'!$O$30*0.1</f>
        <v>6675300</v>
      </c>
      <c r="M9" s="544">
        <f>+'A) Resumen Ingresos y Egresos'!$O$30*0.1</f>
        <v>6675300</v>
      </c>
      <c r="N9" s="545">
        <f>SUM(B9:M9)</f>
        <v>76236300</v>
      </c>
    </row>
    <row r="10" spans="1:15" x14ac:dyDescent="0.25">
      <c r="A10" s="543" t="s">
        <v>244</v>
      </c>
      <c r="B10" s="544">
        <f>SUM('F) Remuneraciones'!$H$11:$H$22)/12</f>
        <v>4658961.7499999991</v>
      </c>
      <c r="C10" s="544">
        <f>SUM('F) Remuneraciones'!$H$11:$H$22)/12</f>
        <v>4658961.7499999991</v>
      </c>
      <c r="D10" s="544">
        <f>SUM('F) Remuneraciones'!$H$11:$H$22)/12</f>
        <v>4658961.7499999991</v>
      </c>
      <c r="E10" s="544">
        <f>SUM('F) Remuneraciones'!$H$11:$H$22)/12</f>
        <v>4658961.7499999991</v>
      </c>
      <c r="F10" s="544">
        <f>SUM('F) Remuneraciones'!$H$11:$H$22)/12</f>
        <v>4658961.7499999991</v>
      </c>
      <c r="G10" s="544">
        <f>SUM('F) Remuneraciones'!$H$11:$H$22)/12</f>
        <v>4658961.7499999991</v>
      </c>
      <c r="H10" s="544">
        <f>SUM('F) Remuneraciones'!$H$11:$H$22)/12</f>
        <v>4658961.7499999991</v>
      </c>
      <c r="I10" s="544">
        <f>SUM('F) Remuneraciones'!$H$11:$H$22)/12</f>
        <v>4658961.7499999991</v>
      </c>
      <c r="J10" s="544">
        <f>SUM('F) Remuneraciones'!$H$11:$H$22)/12</f>
        <v>4658961.7499999991</v>
      </c>
      <c r="K10" s="544">
        <f>SUM('F) Remuneraciones'!$H$11:$H$22)/12</f>
        <v>4658961.7499999991</v>
      </c>
      <c r="L10" s="544">
        <f>SUM('F) Remuneraciones'!$H$11:$H$22)/12</f>
        <v>4658961.7499999991</v>
      </c>
      <c r="M10" s="544">
        <f>SUM('F) Remuneraciones'!$H$11:$H$22)/12</f>
        <v>4658961.7499999991</v>
      </c>
      <c r="N10" s="545">
        <f t="shared" ref="N10:N12" si="0">SUM(B10:M10)</f>
        <v>55907540.999999993</v>
      </c>
    </row>
    <row r="11" spans="1:15" x14ac:dyDescent="0.25">
      <c r="A11" s="543" t="s">
        <v>246</v>
      </c>
      <c r="B11" s="544">
        <f>SUM('F) Remuneraciones'!I11:I22)*0.5</f>
        <v>893738.5</v>
      </c>
      <c r="C11" s="544">
        <v>0</v>
      </c>
      <c r="D11" s="544">
        <v>0</v>
      </c>
      <c r="E11" s="544">
        <v>0</v>
      </c>
      <c r="F11" s="544">
        <v>0</v>
      </c>
      <c r="G11" s="544">
        <v>0</v>
      </c>
      <c r="H11" s="544">
        <v>0</v>
      </c>
      <c r="I11" s="544">
        <v>0</v>
      </c>
      <c r="J11" s="544">
        <f>SUM('F) Remuneraciones'!J11:J22)*0.5</f>
        <v>519909</v>
      </c>
      <c r="K11" s="544">
        <v>0</v>
      </c>
      <c r="L11" s="544">
        <v>0</v>
      </c>
      <c r="M11" s="544">
        <f>+B11+J11</f>
        <v>1413647.5</v>
      </c>
      <c r="N11" s="545">
        <f t="shared" si="0"/>
        <v>2827295</v>
      </c>
    </row>
    <row r="12" spans="1:15" x14ac:dyDescent="0.25">
      <c r="A12" s="543" t="s">
        <v>245</v>
      </c>
      <c r="B12" s="544">
        <f>(+'C) Costos Directos'!$H$75-'C) Costos Directos'!$D$14)*0.05</f>
        <v>1556940.8000000005</v>
      </c>
      <c r="C12" s="544">
        <f>(+'C) Costos Directos'!$H$75-'C) Costos Directos'!$D$14)*0.05</f>
        <v>1556940.8000000005</v>
      </c>
      <c r="D12" s="544">
        <f>(+'C) Costos Directos'!$H$75-'C) Costos Directos'!$D$14)*0.09</f>
        <v>2802493.4400000004</v>
      </c>
      <c r="E12" s="544">
        <f>(+'C) Costos Directos'!$H$75-'C) Costos Directos'!$D$14)*0.09</f>
        <v>2802493.4400000004</v>
      </c>
      <c r="F12" s="544">
        <f>(+'C) Costos Directos'!$H$75-'C) Costos Directos'!$D$14)*0.09</f>
        <v>2802493.4400000004</v>
      </c>
      <c r="G12" s="544">
        <f>(+'C) Costos Directos'!$H$75-'C) Costos Directos'!$D$14)*0.09</f>
        <v>2802493.4400000004</v>
      </c>
      <c r="H12" s="544">
        <f>(+'C) Costos Directos'!$H$75-'C) Costos Directos'!$D$14)*0.09</f>
        <v>2802493.4400000004</v>
      </c>
      <c r="I12" s="544">
        <f>(+'C) Costos Directos'!$H$75-'C) Costos Directos'!$D$14)*0.09</f>
        <v>2802493.4400000004</v>
      </c>
      <c r="J12" s="544">
        <f>(+'C) Costos Directos'!$H$75-'C) Costos Directos'!$D$14)*0.09</f>
        <v>2802493.4400000004</v>
      </c>
      <c r="K12" s="544">
        <f>(+'C) Costos Directos'!$H$75-'C) Costos Directos'!$D$14)*0.09</f>
        <v>2802493.4400000004</v>
      </c>
      <c r="L12" s="544">
        <f>(+'C) Costos Directos'!$H$75-'C) Costos Directos'!$D$14)*0.09</f>
        <v>2802493.4400000004</v>
      </c>
      <c r="M12" s="544">
        <f>(+'C) Costos Directos'!$H$75-'C) Costos Directos'!$D$14)*0.09</f>
        <v>2802493.4400000004</v>
      </c>
      <c r="N12" s="545">
        <f t="shared" si="0"/>
        <v>31138816.000000011</v>
      </c>
      <c r="O12" s="544"/>
    </row>
    <row r="13" spans="1:15" x14ac:dyDescent="0.25">
      <c r="A13" s="546" t="s">
        <v>252</v>
      </c>
      <c r="B13" s="547">
        <f t="shared" ref="B13:M13" si="1">+B9-B10-B11-B12</f>
        <v>-4301641.05</v>
      </c>
      <c r="C13" s="547">
        <f t="shared" si="1"/>
        <v>-1543192.5499999996</v>
      </c>
      <c r="D13" s="547">
        <f t="shared" si="1"/>
        <v>1216434.8100000005</v>
      </c>
      <c r="E13" s="547">
        <f t="shared" si="1"/>
        <v>-786155.18999999948</v>
      </c>
      <c r="F13" s="547">
        <f t="shared" si="1"/>
        <v>-786155.18999999948</v>
      </c>
      <c r="G13" s="547">
        <f t="shared" si="1"/>
        <v>-786155.18999999948</v>
      </c>
      <c r="H13" s="547">
        <f t="shared" si="1"/>
        <v>-786155.18999999948</v>
      </c>
      <c r="I13" s="547">
        <f t="shared" si="1"/>
        <v>-786155.18999999948</v>
      </c>
      <c r="J13" s="547">
        <f t="shared" si="1"/>
        <v>-1306064.1899999995</v>
      </c>
      <c r="K13" s="547">
        <f t="shared" si="1"/>
        <v>-786155.18999999948</v>
      </c>
      <c r="L13" s="547">
        <f t="shared" si="1"/>
        <v>-786155.18999999948</v>
      </c>
      <c r="M13" s="547">
        <f t="shared" si="1"/>
        <v>-2199802.6899999995</v>
      </c>
      <c r="N13" s="547">
        <f>+N9-N10-N11-N12</f>
        <v>-13637352.000000004</v>
      </c>
      <c r="O13" s="544"/>
    </row>
    <row r="16" spans="1:15" x14ac:dyDescent="0.25">
      <c r="A16" s="548" t="s">
        <v>253</v>
      </c>
      <c r="B16" s="538" t="s">
        <v>231</v>
      </c>
      <c r="C16" s="538" t="s">
        <v>232</v>
      </c>
      <c r="D16" s="538" t="s">
        <v>233</v>
      </c>
      <c r="E16" s="538" t="s">
        <v>234</v>
      </c>
      <c r="F16" s="538" t="s">
        <v>235</v>
      </c>
      <c r="G16" s="538" t="s">
        <v>236</v>
      </c>
      <c r="H16" s="538" t="s">
        <v>237</v>
      </c>
      <c r="I16" s="538" t="s">
        <v>238</v>
      </c>
      <c r="J16" s="538" t="s">
        <v>239</v>
      </c>
      <c r="K16" s="538" t="s">
        <v>240</v>
      </c>
      <c r="L16" s="538" t="s">
        <v>241</v>
      </c>
      <c r="M16" s="538" t="s">
        <v>242</v>
      </c>
    </row>
    <row r="17" spans="1:14" x14ac:dyDescent="0.25">
      <c r="A17" s="539" t="s">
        <v>249</v>
      </c>
      <c r="B17" s="540"/>
      <c r="C17" s="540"/>
      <c r="D17" s="540">
        <f>+'B) Reajuste Tarifas y Ocupación'!$I$28</f>
        <v>10</v>
      </c>
      <c r="E17" s="540">
        <f>+'B) Reajuste Tarifas y Ocupación'!$I$28</f>
        <v>10</v>
      </c>
      <c r="F17" s="540">
        <f>+'B) Reajuste Tarifas y Ocupación'!$I$28</f>
        <v>10</v>
      </c>
      <c r="G17" s="540">
        <f>+'B) Reajuste Tarifas y Ocupación'!$I$28</f>
        <v>10</v>
      </c>
      <c r="H17" s="540">
        <f>+'B) Reajuste Tarifas y Ocupación'!$I$28</f>
        <v>10</v>
      </c>
      <c r="I17" s="540">
        <f>+'B) Reajuste Tarifas y Ocupación'!$I$28</f>
        <v>10</v>
      </c>
      <c r="J17" s="540">
        <f>+'B) Reajuste Tarifas y Ocupación'!$I$28</f>
        <v>10</v>
      </c>
      <c r="K17" s="540">
        <f>+'B) Reajuste Tarifas y Ocupación'!$I$28</f>
        <v>10</v>
      </c>
      <c r="L17" s="540">
        <f>+'B) Reajuste Tarifas y Ocupación'!$I$28</f>
        <v>10</v>
      </c>
      <c r="M17" s="540">
        <f>+'B) Reajuste Tarifas y Ocupación'!$I$28</f>
        <v>10</v>
      </c>
    </row>
    <row r="18" spans="1:14" x14ac:dyDescent="0.25">
      <c r="A18" s="539" t="s">
        <v>250</v>
      </c>
      <c r="B18" s="540">
        <f>+COUNTA('F) Remuneraciones'!$C$23:$C$30)</f>
        <v>3</v>
      </c>
      <c r="C18" s="540">
        <f>+COUNTA('F) Remuneraciones'!$C$23:$C$30)</f>
        <v>3</v>
      </c>
      <c r="D18" s="540">
        <f>+COUNTA('F) Remuneraciones'!$C$23:$C$30)</f>
        <v>3</v>
      </c>
      <c r="E18" s="540">
        <f>+COUNTA('F) Remuneraciones'!$C$23:$C$30)</f>
        <v>3</v>
      </c>
      <c r="F18" s="540">
        <f>+COUNTA('F) Remuneraciones'!$C$23:$C$30)</f>
        <v>3</v>
      </c>
      <c r="G18" s="540">
        <f>+COUNTA('F) Remuneraciones'!$C$23:$C$30)</f>
        <v>3</v>
      </c>
      <c r="H18" s="540">
        <f>+COUNTA('F) Remuneraciones'!$C$23:$C$30)</f>
        <v>3</v>
      </c>
      <c r="I18" s="540">
        <f>+COUNTA('F) Remuneraciones'!$C$23:$C$30)</f>
        <v>3</v>
      </c>
      <c r="J18" s="540">
        <f>+COUNTA('F) Remuneraciones'!$C$23:$C$30)</f>
        <v>3</v>
      </c>
      <c r="K18" s="540">
        <f>+COUNTA('F) Remuneraciones'!$C$23:$C$30)</f>
        <v>3</v>
      </c>
      <c r="L18" s="540">
        <f>+COUNTA('F) Remuneraciones'!$C$23:$C$30)</f>
        <v>3</v>
      </c>
      <c r="M18" s="540">
        <f>+COUNTA('F) Remuneraciones'!$C$23:$C$30)</f>
        <v>3</v>
      </c>
    </row>
    <row r="19" spans="1:14" x14ac:dyDescent="0.25">
      <c r="A19" s="539"/>
      <c r="B19" s="541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</row>
    <row r="20" spans="1:14" ht="30" x14ac:dyDescent="0.25">
      <c r="A20" s="542" t="str">
        <f>+'A) Resumen Ingresos y Egresos'!A31</f>
        <v>Sala Cuna Olitas de Mar</v>
      </c>
      <c r="B20" s="538" t="s">
        <v>231</v>
      </c>
      <c r="C20" s="538" t="s">
        <v>232</v>
      </c>
      <c r="D20" s="538" t="s">
        <v>233</v>
      </c>
      <c r="E20" s="538" t="s">
        <v>234</v>
      </c>
      <c r="F20" s="538" t="s">
        <v>235</v>
      </c>
      <c r="G20" s="538" t="s">
        <v>236</v>
      </c>
      <c r="H20" s="538" t="s">
        <v>237</v>
      </c>
      <c r="I20" s="538" t="s">
        <v>238</v>
      </c>
      <c r="J20" s="538" t="s">
        <v>239</v>
      </c>
      <c r="K20" s="538" t="s">
        <v>240</v>
      </c>
      <c r="L20" s="538" t="s">
        <v>241</v>
      </c>
      <c r="M20" s="538" t="s">
        <v>242</v>
      </c>
      <c r="N20" s="538" t="s">
        <v>251</v>
      </c>
    </row>
    <row r="21" spans="1:14" x14ac:dyDescent="0.25">
      <c r="A21" s="543" t="s">
        <v>243</v>
      </c>
      <c r="B21" s="544">
        <f>+'A) Resumen Ingresos y Egresos'!$O$40/12+'A) Resumen Ingresos y Egresos'!$N$40/12</f>
        <v>3474000</v>
      </c>
      <c r="C21" s="544">
        <f>+'A) Resumen Ingresos y Egresos'!$O$40/12+'A) Resumen Ingresos y Egresos'!$N$40/12</f>
        <v>3474000</v>
      </c>
      <c r="D21" s="544">
        <f>+'A) Resumen Ingresos y Egresos'!$O$40/12+'A) Resumen Ingresos y Egresos'!$N$40/12</f>
        <v>3474000</v>
      </c>
      <c r="E21" s="544">
        <f>+'A) Resumen Ingresos y Egresos'!$O$40/12+'A) Resumen Ingresos y Egresos'!$N$40/12</f>
        <v>3474000</v>
      </c>
      <c r="F21" s="544">
        <f>+'A) Resumen Ingresos y Egresos'!$O$40/12+'A) Resumen Ingresos y Egresos'!$N$40/12</f>
        <v>3474000</v>
      </c>
      <c r="G21" s="544">
        <f>+'A) Resumen Ingresos y Egresos'!$O$40/12+'A) Resumen Ingresos y Egresos'!$N$40/12</f>
        <v>3474000</v>
      </c>
      <c r="H21" s="544">
        <f>+'A) Resumen Ingresos y Egresos'!$O$40/12+'A) Resumen Ingresos y Egresos'!$N$40/12</f>
        <v>3474000</v>
      </c>
      <c r="I21" s="544">
        <f>+'A) Resumen Ingresos y Egresos'!$O$40/12+'A) Resumen Ingresos y Egresos'!$N$40/12</f>
        <v>3474000</v>
      </c>
      <c r="J21" s="544">
        <f>+'A) Resumen Ingresos y Egresos'!$O$40/12+'A) Resumen Ingresos y Egresos'!$N$40/12</f>
        <v>3474000</v>
      </c>
      <c r="K21" s="544">
        <f>+'A) Resumen Ingresos y Egresos'!$O$40/12+'A) Resumen Ingresos y Egresos'!$N$40/12</f>
        <v>3474000</v>
      </c>
      <c r="L21" s="544">
        <f>+'A) Resumen Ingresos y Egresos'!$O$40/12+'A) Resumen Ingresos y Egresos'!$N$40/12</f>
        <v>3474000</v>
      </c>
      <c r="M21" s="544">
        <f>+'A) Resumen Ingresos y Egresos'!$O$40/12+'A) Resumen Ingresos y Egresos'!$N$40/12</f>
        <v>3474000</v>
      </c>
      <c r="N21" s="545">
        <f>SUM(B21:M21)</f>
        <v>41688000</v>
      </c>
    </row>
    <row r="22" spans="1:14" x14ac:dyDescent="0.25">
      <c r="A22" s="543" t="s">
        <v>244</v>
      </c>
      <c r="B22" s="544">
        <f>SUM('F) Remuneraciones'!$H$23:$H$30)/12</f>
        <v>2108035.34</v>
      </c>
      <c r="C22" s="544">
        <f>SUM('F) Remuneraciones'!$H$23:$H$30)/12</f>
        <v>2108035.34</v>
      </c>
      <c r="D22" s="544">
        <f>SUM('F) Remuneraciones'!$H$23:$H$30)/12</f>
        <v>2108035.34</v>
      </c>
      <c r="E22" s="544">
        <f>SUM('F) Remuneraciones'!$H$23:$H$30)/12</f>
        <v>2108035.34</v>
      </c>
      <c r="F22" s="544">
        <f>SUM('F) Remuneraciones'!$H$23:$H$30)/12</f>
        <v>2108035.34</v>
      </c>
      <c r="G22" s="544">
        <f>SUM('F) Remuneraciones'!$H$23:$H$30)/12</f>
        <v>2108035.34</v>
      </c>
      <c r="H22" s="544">
        <f>SUM('F) Remuneraciones'!$H$23:$H$30)/12</f>
        <v>2108035.34</v>
      </c>
      <c r="I22" s="544">
        <f>SUM('F) Remuneraciones'!$H$23:$H$30)/12</f>
        <v>2108035.34</v>
      </c>
      <c r="J22" s="544">
        <f>SUM('F) Remuneraciones'!$H$23:$H$30)/12</f>
        <v>2108035.34</v>
      </c>
      <c r="K22" s="544">
        <f>SUM('F) Remuneraciones'!$H$23:$H$30)/12</f>
        <v>2108035.34</v>
      </c>
      <c r="L22" s="544">
        <f>SUM('F) Remuneraciones'!$H$23:$H$30)/12</f>
        <v>2108035.34</v>
      </c>
      <c r="M22" s="544">
        <f>SUM('F) Remuneraciones'!$H$23:$H$30)/12</f>
        <v>2108035.34</v>
      </c>
      <c r="N22" s="545">
        <f t="shared" ref="N22:N24" si="2">SUM(B22:M22)</f>
        <v>25296424.079999998</v>
      </c>
    </row>
    <row r="23" spans="1:14" x14ac:dyDescent="0.25">
      <c r="A23" s="543" t="s">
        <v>246</v>
      </c>
      <c r="B23" s="544">
        <f>SUM('F) Remuneraciones'!I23:I30)*0.5</f>
        <v>348246.5</v>
      </c>
      <c r="C23" s="544">
        <v>0</v>
      </c>
      <c r="D23" s="544">
        <v>0</v>
      </c>
      <c r="E23" s="544">
        <v>0</v>
      </c>
      <c r="F23" s="544">
        <v>0</v>
      </c>
      <c r="G23" s="544">
        <v>0</v>
      </c>
      <c r="H23" s="544">
        <v>0</v>
      </c>
      <c r="I23" s="544">
        <v>0</v>
      </c>
      <c r="J23" s="544">
        <f>SUM('F) Remuneraciones'!J23:J30)*0.5</f>
        <v>221849</v>
      </c>
      <c r="K23" s="544">
        <v>0</v>
      </c>
      <c r="L23" s="544">
        <v>0</v>
      </c>
      <c r="M23" s="544">
        <f>+B23+J23</f>
        <v>570095.5</v>
      </c>
      <c r="N23" s="545">
        <f t="shared" si="2"/>
        <v>1140191</v>
      </c>
    </row>
    <row r="24" spans="1:14" x14ac:dyDescent="0.25">
      <c r="A24" s="543" t="s">
        <v>245</v>
      </c>
      <c r="B24" s="544">
        <f>(+'C) Costos Directos'!$H$139-'C) Costos Directos'!$D$78)/12</f>
        <v>634522.41666666663</v>
      </c>
      <c r="C24" s="544">
        <f>(+'C) Costos Directos'!$H$139-'C) Costos Directos'!$D$78)/12</f>
        <v>634522.41666666663</v>
      </c>
      <c r="D24" s="544">
        <f>(+'C) Costos Directos'!$H$139-'C) Costos Directos'!$D$78)/12</f>
        <v>634522.41666666663</v>
      </c>
      <c r="E24" s="544">
        <f>(+'C) Costos Directos'!$H$139-'C) Costos Directos'!$D$78)/12</f>
        <v>634522.41666666663</v>
      </c>
      <c r="F24" s="544">
        <f>(+'C) Costos Directos'!$H$139-'C) Costos Directos'!$D$78)/12</f>
        <v>634522.41666666663</v>
      </c>
      <c r="G24" s="544">
        <f>(+'C) Costos Directos'!$H$139-'C) Costos Directos'!$D$78)/12</f>
        <v>634522.41666666663</v>
      </c>
      <c r="H24" s="544">
        <f>(+'C) Costos Directos'!$H$139-'C) Costos Directos'!$D$78)/12</f>
        <v>634522.41666666663</v>
      </c>
      <c r="I24" s="544">
        <f>(+'C) Costos Directos'!$H$139-'C) Costos Directos'!$D$78)/12</f>
        <v>634522.41666666663</v>
      </c>
      <c r="J24" s="544">
        <f>(+'C) Costos Directos'!$H$139-'C) Costos Directos'!$D$78)/12</f>
        <v>634522.41666666663</v>
      </c>
      <c r="K24" s="544">
        <f>(+'C) Costos Directos'!$H$139-'C) Costos Directos'!$D$78)/12</f>
        <v>634522.41666666663</v>
      </c>
      <c r="L24" s="544">
        <f>(+'C) Costos Directos'!$H$139-'C) Costos Directos'!$D$78)/12</f>
        <v>634522.41666666663</v>
      </c>
      <c r="M24" s="544">
        <f>(+'C) Costos Directos'!$H$139-'C) Costos Directos'!$D$78)/12</f>
        <v>634522.41666666663</v>
      </c>
      <c r="N24" s="545">
        <f t="shared" si="2"/>
        <v>7614269.0000000009</v>
      </c>
    </row>
    <row r="25" spans="1:14" x14ac:dyDescent="0.25">
      <c r="A25" s="546" t="s">
        <v>252</v>
      </c>
      <c r="B25" s="547">
        <f t="shared" ref="B25:M25" si="3">+B21-B22-B23-B24</f>
        <v>383195.74333333352</v>
      </c>
      <c r="C25" s="547">
        <f t="shared" si="3"/>
        <v>731442.24333333352</v>
      </c>
      <c r="D25" s="547">
        <f t="shared" si="3"/>
        <v>731442.24333333352</v>
      </c>
      <c r="E25" s="547">
        <f t="shared" si="3"/>
        <v>731442.24333333352</v>
      </c>
      <c r="F25" s="547">
        <f t="shared" si="3"/>
        <v>731442.24333333352</v>
      </c>
      <c r="G25" s="547">
        <f t="shared" si="3"/>
        <v>731442.24333333352</v>
      </c>
      <c r="H25" s="547">
        <f t="shared" si="3"/>
        <v>731442.24333333352</v>
      </c>
      <c r="I25" s="547">
        <f t="shared" si="3"/>
        <v>731442.24333333352</v>
      </c>
      <c r="J25" s="547">
        <f t="shared" si="3"/>
        <v>509593.24333333352</v>
      </c>
      <c r="K25" s="547">
        <f t="shared" si="3"/>
        <v>731442.24333333352</v>
      </c>
      <c r="L25" s="547">
        <f t="shared" si="3"/>
        <v>731442.24333333352</v>
      </c>
      <c r="M25" s="547">
        <f t="shared" si="3"/>
        <v>161346.74333333352</v>
      </c>
      <c r="N25" s="547">
        <f>+N21-N22-N23-N24</f>
        <v>7637115.9200000009</v>
      </c>
    </row>
  </sheetData>
  <sheetProtection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2022-08-10T12:54:28Z</cp:lastPrinted>
  <dcterms:created xsi:type="dcterms:W3CDTF">2017-05-11T00:45:10Z</dcterms:created>
  <dcterms:modified xsi:type="dcterms:W3CDTF">2022-11-08T14:06:57Z</dcterms:modified>
</cp:coreProperties>
</file>